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521" yWindow="65521" windowWidth="15330" windowHeight="4335" tabRatio="739" activeTab="0"/>
  </bookViews>
  <sheets>
    <sheet name="Input Data" sheetId="1" r:id="rId1"/>
    <sheet name="Analysis Sheet" sheetId="2" r:id="rId2"/>
    <sheet name="Results Sheet" sheetId="3" r:id="rId3"/>
    <sheet name="Proposed Collision" sheetId="4" r:id="rId4"/>
    <sheet name="Selections" sheetId="5" r:id="rId5"/>
  </sheets>
  <definedNames>
    <definedName name="_xlnm.Print_Titles" localSheetId="1">'Analysis Sheet'!$1:$2</definedName>
    <definedName name="_xlnm.Print_Titles" localSheetId="0">'Input Data'!$1:$7</definedName>
    <definedName name="Justification_1">'Input Data'!$A$8:$Q$35</definedName>
    <definedName name="Justification_3">'Input Data'!$A$35:$Q$90</definedName>
    <definedName name="Justification_5">'Input Data'!$A$55:$Q$90</definedName>
    <definedName name="Justification1" localSheetId="2">'Results Sheet'!$A$3:$O$39</definedName>
    <definedName name="Justification1">'Analysis Sheet'!$A$3:$R$23</definedName>
    <definedName name="Justification2" localSheetId="2">'Results Sheet'!#REF!</definedName>
    <definedName name="Justification2">'Analysis Sheet'!$A$23:$R$54</definedName>
    <definedName name="Justification3" localSheetId="2">'Results Sheet'!#REF!</definedName>
    <definedName name="Justification3">'Analysis Sheet'!$A$42:$R$66</definedName>
    <definedName name="Justification4">'Analysis Sheet'!$A$51:$R$72</definedName>
    <definedName name="Justification5" localSheetId="2">'Results Sheet'!#REF!</definedName>
    <definedName name="Justification5">'Analysis Sheet'!$A$64:$R$114</definedName>
    <definedName name="Justification6">'Analysis Sheet'!$A$100:$R$120</definedName>
    <definedName name="_xlnm.Print_Area" localSheetId="1">'Analysis Sheet'!$A$1:$R$120</definedName>
    <definedName name="_xlnm.Print_Area" localSheetId="0">'Input Data'!$A$1:$Q$80</definedName>
    <definedName name="_xlnm.Print_Area" localSheetId="3">'Proposed Collision'!$A$1:$O$75</definedName>
    <definedName name="_xlnm.Print_Area" localSheetId="2">'Results Sheet'!$A$1:$O$31</definedName>
  </definedNames>
  <calcPr fullCalcOnLoad="1"/>
</workbook>
</file>

<file path=xl/comments1.xml><?xml version="1.0" encoding="utf-8"?>
<comments xmlns="http://schemas.openxmlformats.org/spreadsheetml/2006/main">
  <authors>
    <author>Tom Prestia</author>
  </authors>
  <commentList>
    <comment ref="B21" authorId="0">
      <text>
        <r>
          <rPr>
            <sz val="8"/>
            <rFont val="Tahoma"/>
            <family val="0"/>
          </rPr>
          <t xml:space="preserve">Enter the ending time of each of the 8 analysis hours in the cells below
</t>
        </r>
      </text>
    </comment>
  </commentList>
</comments>
</file>

<file path=xl/sharedStrings.xml><?xml version="1.0" encoding="utf-8"?>
<sst xmlns="http://schemas.openxmlformats.org/spreadsheetml/2006/main" count="381" uniqueCount="250">
  <si>
    <t>LT</t>
  </si>
  <si>
    <t>TH</t>
  </si>
  <si>
    <t>RT</t>
  </si>
  <si>
    <t>Time Period</t>
  </si>
  <si>
    <t>Justification</t>
  </si>
  <si>
    <t>Hour Ending</t>
  </si>
  <si>
    <t>Yes</t>
  </si>
  <si>
    <t>No</t>
  </si>
  <si>
    <t>X</t>
  </si>
  <si>
    <t>2A</t>
  </si>
  <si>
    <t>2B</t>
  </si>
  <si>
    <t>Both 2A and 2B 100% Fullfilled each of 8 hours</t>
  </si>
  <si>
    <t>Lesser of 2A or 2B at least 80% fulfilled each of 8 hours</t>
  </si>
  <si>
    <t>Rural</t>
  </si>
  <si>
    <t>Urban</t>
  </si>
  <si>
    <t>a.-</t>
  </si>
  <si>
    <t>b.-</t>
  </si>
  <si>
    <t>c.-</t>
  </si>
  <si>
    <t>d.-</t>
  </si>
  <si>
    <t>Direction of the Major Approach street</t>
  </si>
  <si>
    <t>North-South</t>
  </si>
  <si>
    <t>East-West</t>
  </si>
  <si>
    <t>2 or more</t>
  </si>
  <si>
    <t>Number of Approaches</t>
  </si>
  <si>
    <t>Speed limit on the Major Approach street</t>
  </si>
  <si>
    <t>Signal Justification 2:</t>
  </si>
  <si>
    <t>Justification #</t>
  </si>
  <si>
    <t>Delay to Cross Traffic</t>
  </si>
  <si>
    <t>Collision Experience</t>
  </si>
  <si>
    <t>Pedestrian Volume</t>
  </si>
  <si>
    <t>Justification 1.-</t>
  </si>
  <si>
    <t>Justification 2.-</t>
  </si>
  <si>
    <t>Justification 3.-</t>
  </si>
  <si>
    <t>Justification 4.-</t>
  </si>
  <si>
    <t>Justification 5.-</t>
  </si>
  <si>
    <t>Justification1</t>
  </si>
  <si>
    <t>Justification2</t>
  </si>
  <si>
    <t>Justification3</t>
  </si>
  <si>
    <t>Justification4</t>
  </si>
  <si>
    <t>Justification5</t>
  </si>
  <si>
    <t>Year</t>
  </si>
  <si>
    <t>Traffic Volume</t>
  </si>
  <si>
    <t>Impact Type/Year</t>
  </si>
  <si>
    <t>Major AADT</t>
  </si>
  <si>
    <t>Minor AADT</t>
  </si>
  <si>
    <t>Angle</t>
  </si>
  <si>
    <t>Rear end</t>
  </si>
  <si>
    <t>Sideswipe</t>
  </si>
  <si>
    <t>Turning movement</t>
  </si>
  <si>
    <t>SMV</t>
  </si>
  <si>
    <t>Other</t>
  </si>
  <si>
    <t>Year in which the intersection is considered to be signalized</t>
  </si>
  <si>
    <t>Approach-ing</t>
  </si>
  <si>
    <t>Reducible Collisions</t>
  </si>
  <si>
    <t>Total Number of Crashes Per Year</t>
  </si>
  <si>
    <t>Parameter k</t>
  </si>
  <si>
    <t>Model Prediction</t>
  </si>
  <si>
    <t>Comp. Ratio for Period</t>
  </si>
  <si>
    <t>Non-reducible Collisions</t>
  </si>
  <si>
    <t xml:space="preserve">Total Number of  Historical Crashes </t>
  </si>
  <si>
    <t xml:space="preserve">Expected Annual Crashes without Signalization based on SPF </t>
  </si>
  <si>
    <t xml:space="preserve">Expected Annual Crashes without Signalization </t>
  </si>
  <si>
    <t xml:space="preserve">Variance of Expected Annual Crashes without Signalization </t>
  </si>
  <si>
    <t xml:space="preserve">Expected Annual Crashes after Signalization based on SPF </t>
  </si>
  <si>
    <t xml:space="preserve">Expected Annual Crashes after Signalization </t>
  </si>
  <si>
    <t xml:space="preserve">Variance of Expected Annual Crashes after Signalization </t>
  </si>
  <si>
    <t xml:space="preserve">Weights for Unsignalized Intersections </t>
  </si>
  <si>
    <t xml:space="preserve">Weights for Signalized Intersections </t>
  </si>
  <si>
    <t>% Assigned to Crossing Rate</t>
  </si>
  <si>
    <t>Net 8 Hour Pedestrian Volume at Crossing</t>
  </si>
  <si>
    <t>Zone 1</t>
  </si>
  <si>
    <t>Zone 2</t>
  </si>
  <si>
    <t>Zone 3 (if needed)</t>
  </si>
  <si>
    <t>Zone 4 (if needed)</t>
  </si>
  <si>
    <t>Assisted</t>
  </si>
  <si>
    <t>Unassisted</t>
  </si>
  <si>
    <t>Total</t>
  </si>
  <si>
    <t>Net 8 Hour Volume of Total Pedestrians</t>
  </si>
  <si>
    <t>Net 8 Hour Volume of Delayed Pedestrians</t>
  </si>
  <si>
    <t>&lt; 1440</t>
  </si>
  <si>
    <t>1440 - 2600</t>
  </si>
  <si>
    <t>2601 - 7000</t>
  </si>
  <si>
    <t>&gt; 7000</t>
  </si>
  <si>
    <t>Net 8 Hour Pedestrian Volume</t>
  </si>
  <si>
    <t>&lt; 200</t>
  </si>
  <si>
    <t>200 - 275</t>
  </si>
  <si>
    <t>276 - 475</t>
  </si>
  <si>
    <t>476 - 1000</t>
  </si>
  <si>
    <t>&gt;1000</t>
  </si>
  <si>
    <r>
      <t>8 Hour Vehicular 
Volume V</t>
    </r>
    <r>
      <rPr>
        <b/>
        <vertAlign val="subscript"/>
        <sz val="8"/>
        <rFont val="Arial"/>
        <family val="2"/>
      </rPr>
      <t>8</t>
    </r>
  </si>
  <si>
    <t>Net Total 8 Hour Volume 
of Total Pedestrians</t>
  </si>
  <si>
    <t>&lt; 75</t>
  </si>
  <si>
    <t>75 - 130</t>
  </si>
  <si>
    <t>&gt; 130</t>
  </si>
  <si>
    <t>Net Total 8 Hour Volume of Delayed Pedestrians</t>
  </si>
  <si>
    <t>200 - 300</t>
  </si>
  <si>
    <t>&gt; 300</t>
  </si>
  <si>
    <t>Analysis Sheet</t>
  </si>
  <si>
    <t>For Justification 1 to 5 Sheet</t>
  </si>
  <si>
    <t>For Input Sheet</t>
  </si>
  <si>
    <t>Justification_1</t>
  </si>
  <si>
    <t>Justification_3</t>
  </si>
  <si>
    <t>Justification_5</t>
  </si>
  <si>
    <t>Results Sheet</t>
  </si>
  <si>
    <t>Summary Results</t>
  </si>
  <si>
    <t>A     Total Volume</t>
  </si>
  <si>
    <t>B     Crossing Volume</t>
  </si>
  <si>
    <t>1. Minimum 
    Vehicular 
    Volume</t>
  </si>
  <si>
    <t>2. Delay to  
    Cross 
    Traffic</t>
  </si>
  <si>
    <t>A     Main Road</t>
  </si>
  <si>
    <t>B     Crossing Road</t>
  </si>
  <si>
    <t>A     Volume</t>
  </si>
  <si>
    <t>B     Delay</t>
  </si>
  <si>
    <t>Compliance</t>
  </si>
  <si>
    <t>%</t>
  </si>
  <si>
    <t>YES</t>
  </si>
  <si>
    <t>NO</t>
  </si>
  <si>
    <t>Signal Justified?</t>
  </si>
  <si>
    <t>Raw Safety Change in Collisions after Signalization by Type</t>
  </si>
  <si>
    <t>RESULTS</t>
  </si>
  <si>
    <t>Weighted Potential Safety Change due to Reducible Collisions</t>
  </si>
  <si>
    <t>Weighted Potential Safety Change due to Non-reducible Collisions</t>
  </si>
  <si>
    <t>Net Safety Change</t>
  </si>
  <si>
    <t>Increase</t>
  </si>
  <si>
    <t>Input Data Sheet</t>
  </si>
  <si>
    <t xml:space="preserve">Justification 1 - 4: Volume Warrants </t>
  </si>
  <si>
    <t>Justification Satisfied 80% or More</t>
  </si>
  <si>
    <t>Minimun Vehicular Volume</t>
  </si>
  <si>
    <t>Delay Cross Traffic</t>
  </si>
  <si>
    <t>Two Justifications 
Satisfied 80% or More</t>
  </si>
  <si>
    <t>Combination Justification 1 and 2</t>
  </si>
  <si>
    <t>Ci,y</t>
  </si>
  <si>
    <r>
      <t>C</t>
    </r>
    <r>
      <rPr>
        <b/>
        <vertAlign val="subscript"/>
        <sz val="8"/>
        <rFont val="Arial"/>
        <family val="2"/>
      </rPr>
      <t>i,y</t>
    </r>
  </si>
  <si>
    <t>Pedestrian Volume Analysis</t>
  </si>
  <si>
    <t>Pedestrian Delay Analysis</t>
  </si>
  <si>
    <t>3. Combination</t>
  </si>
  <si>
    <t>A     Justificaton 1</t>
  </si>
  <si>
    <t>B     Justification 2</t>
  </si>
  <si>
    <t>4. 4-Hr Volume</t>
  </si>
  <si>
    <t xml:space="preserve">5. Collision  
    Experience
    </t>
  </si>
  <si>
    <t>Total Collisions will</t>
  </si>
  <si>
    <t>after this intersection is signalized</t>
  </si>
  <si>
    <t>Y (actual)</t>
  </si>
  <si>
    <t>Average % Compliance</t>
  </si>
  <si>
    <t>e.-</t>
  </si>
  <si>
    <t>Number of lanes on the Major and Minor Approach street</t>
  </si>
  <si>
    <t>6. Pedestrians</t>
  </si>
  <si>
    <t>How many approaches?</t>
  </si>
  <si>
    <t>What is the operating environment?</t>
  </si>
  <si>
    <t>Heaviest Minor Approach</t>
  </si>
  <si>
    <t>Y (warrant threshold)</t>
  </si>
  <si>
    <t>Minimum Vehicle Volumes</t>
  </si>
  <si>
    <t>Justification 4 Coefficients</t>
  </si>
  <si>
    <t>AU</t>
  </si>
  <si>
    <t>BU</t>
  </si>
  <si>
    <t>CU</t>
  </si>
  <si>
    <t>DU</t>
  </si>
  <si>
    <t>AR</t>
  </si>
  <si>
    <t>BR</t>
  </si>
  <si>
    <t>CR</t>
  </si>
  <si>
    <t>DR</t>
  </si>
  <si>
    <t>C1</t>
  </si>
  <si>
    <t>C2</t>
  </si>
  <si>
    <t>C3</t>
  </si>
  <si>
    <t>Y(alter)</t>
  </si>
  <si>
    <t>Overall %
Compliance</t>
  </si>
  <si>
    <t>Expected traffic volume after signalization</t>
  </si>
  <si>
    <t>What are the intersecting roadways?</t>
  </si>
  <si>
    <t>What is the eight hour vehicle volume at the intersection?  (Please fill in table below)</t>
  </si>
  <si>
    <t>What year is the intersection being considered for traffic signals?</t>
  </si>
  <si>
    <t xml:space="preserve">Intersection type (no input required): </t>
  </si>
  <si>
    <t>What is the collision history and annual average daily traffic over the past few years? (Please fill in table below)</t>
  </si>
  <si>
    <t>If known, please enter the expected traffic volume after signals are introduced.                           Otherwise, leave the cell blank.</t>
  </si>
  <si>
    <t>Justification 5: Collision Experience</t>
  </si>
  <si>
    <t>Justification 6: Pedestrian Volume</t>
  </si>
  <si>
    <t>Justification 2: Delay to Cross Traffic</t>
  </si>
  <si>
    <t>Justification 3: Combination</t>
  </si>
  <si>
    <t>Justification 4: Four Hour Volume</t>
  </si>
  <si>
    <t>Not Justified</t>
  </si>
  <si>
    <t>Justified</t>
  </si>
  <si>
    <t xml:space="preserve">Total 8 hour pedestrian volume </t>
  </si>
  <si>
    <t xml:space="preserve">a.- </t>
  </si>
  <si>
    <t xml:space="preserve">b.- </t>
  </si>
  <si>
    <t>Please fill in table below summarizing total pedestrians crossing major roadway at the intersection or in proximity to the intersection (zones).  Please reference Section 4.8 of the Manual for further explanation and graphical representation.</t>
  </si>
  <si>
    <t>Please fill in table below summarizing delay to pedestrians crossing major roadway at the intersection or in proximity to the intersection (zones).  Please reference Section 4.8 of the Manual for further explanation and graphical representation.</t>
  </si>
  <si>
    <t>Total 8 hour pedestrian volume</t>
  </si>
  <si>
    <t>Total 8 hour pedestrians delayed greater than 10 seconds</t>
  </si>
  <si>
    <t>% Assigned to crossing rate</t>
  </si>
  <si>
    <r>
      <t>Net 8 Hour Vehicular Volume on Street Being Crossed</t>
    </r>
    <r>
      <rPr>
        <b/>
        <sz val="9"/>
        <color indexed="10"/>
        <rFont val="Arial"/>
        <family val="2"/>
      </rPr>
      <t xml:space="preserve"> </t>
    </r>
  </si>
  <si>
    <t>Justification 1: Minimum Vehicle Volumes</t>
  </si>
  <si>
    <t>Justification 6 Pedestrians</t>
  </si>
  <si>
    <t>Justification 6A</t>
  </si>
  <si>
    <t>Justification 6B</t>
  </si>
  <si>
    <t>Justification 1 to 4.-</t>
  </si>
  <si>
    <t>Justification 6.-</t>
  </si>
  <si>
    <t>Warrant Volumes</t>
  </si>
  <si>
    <t>Combination</t>
  </si>
  <si>
    <t>Four Hour Volume</t>
  </si>
  <si>
    <t>Justification6</t>
  </si>
  <si>
    <t>Preceding Months</t>
  </si>
  <si>
    <t>1-12</t>
  </si>
  <si>
    <t>13-24</t>
  </si>
  <si>
    <t>25-36</t>
  </si>
  <si>
    <t>% Fulfillment</t>
  </si>
  <si>
    <t>5. Collision Experience</t>
  </si>
  <si>
    <t>Percentage Warrant</t>
  </si>
  <si>
    <t>FREE FLOW</t>
  </si>
  <si>
    <t>RESTR. FLOW</t>
  </si>
  <si>
    <t>Flow Condition</t>
  </si>
  <si>
    <t>Total Across</t>
  </si>
  <si>
    <t>1A</t>
  </si>
  <si>
    <t>1B</t>
  </si>
  <si>
    <t>1 lanes</t>
  </si>
  <si>
    <t>2 or More lanes</t>
  </si>
  <si>
    <t>COMPLIANCE %</t>
  </si>
  <si>
    <t>Signal Justification 1:</t>
  </si>
  <si>
    <t>Both 1A and 1B 100% Fullfilled each of 8 hours</t>
  </si>
  <si>
    <t>Lesser of 1A or 1B at least 80% fulfilled each of 8 hours</t>
  </si>
  <si>
    <t>3</t>
  </si>
  <si>
    <t>Number of lanes on the Main Road?</t>
  </si>
  <si>
    <t>Number of lanes on the Minor Road?</t>
  </si>
  <si>
    <t>What is the direction of the Main Road street?</t>
  </si>
  <si>
    <t>Number of Collisions*</t>
  </si>
  <si>
    <t>Pedestrians Crossing Main Road</t>
  </si>
  <si>
    <t>1 Lanes</t>
  </si>
  <si>
    <t>2 or More Lanes</t>
  </si>
  <si>
    <t>Section Percent</t>
  </si>
  <si>
    <t>Justification 1</t>
  </si>
  <si>
    <t>Justification 2</t>
  </si>
  <si>
    <t>Justification 4</t>
  </si>
  <si>
    <t>Total Volume of Both Approaches (Main)</t>
  </si>
  <si>
    <t>Required Value</t>
  </si>
  <si>
    <t>Justification 5</t>
  </si>
  <si>
    <t>Proposed Collision Justification
(Justification 5A)</t>
  </si>
  <si>
    <t>INPUT</t>
  </si>
  <si>
    <t>Main AADT</t>
  </si>
  <si>
    <t>ANALYSIS</t>
  </si>
  <si>
    <r>
      <t xml:space="preserve">* </t>
    </r>
    <r>
      <rPr>
        <sz val="10"/>
        <rFont val="Arial"/>
        <family val="0"/>
      </rPr>
      <t xml:space="preserve">Include only collisions that are susceptable to correction </t>
    </r>
  </si>
  <si>
    <t xml:space="preserve">  through the installation of traffic signal control</t>
  </si>
  <si>
    <t>Factored 8 hour pedestrian volume</t>
  </si>
  <si>
    <t>Factored volume of total pedestrians</t>
  </si>
  <si>
    <t>Factored volume of delayed pedestrians</t>
  </si>
  <si>
    <t>Guidance Approach Lanes</t>
  </si>
  <si>
    <t>2004</t>
  </si>
  <si>
    <t>4</t>
  </si>
  <si>
    <t>When was the data collected?</t>
  </si>
  <si>
    <t xml:space="preserve">You have reached this sheet in error. </t>
  </si>
  <si>
    <t>Please click the button below to return to the input sheet</t>
  </si>
  <si>
    <t>Richmond Street / Duncan Street</t>
  </si>
  <si>
    <t>2007-09-27</t>
  </si>
</sst>
</file>

<file path=xl/styles.xml><?xml version="1.0" encoding="utf-8"?>
<styleSheet xmlns="http://schemas.openxmlformats.org/spreadsheetml/2006/main">
  <numFmts count="5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S/.&quot;\ #,##0_);\(&quot;S/.&quot;\ #,##0\)"/>
    <numFmt numFmtId="181" formatCode="&quot;S/.&quot;\ #,##0_);[Red]\(&quot;S/.&quot;\ #,##0\)"/>
    <numFmt numFmtId="182" formatCode="&quot;S/.&quot;\ #,##0.00_);\(&quot;S/.&quot;\ #,##0.00\)"/>
    <numFmt numFmtId="183" formatCode="&quot;S/.&quot;\ #,##0.00_);[Red]\(&quot;S/.&quot;\ #,##0.00\)"/>
    <numFmt numFmtId="184" formatCode="_(&quot;S/.&quot;\ * #,##0_);_(&quot;S/.&quot;\ * \(#,##0\);_(&quot;S/.&quot;\ * &quot;-&quot;_);_(@_)"/>
    <numFmt numFmtId="185" formatCode="_(&quot;S/.&quot;\ * #,##0.00_);_(&quot;S/.&quot;\ * \(#,##0.00\);_(&quot;S/.&quot;\ * &quot;-&quot;??_);_(@_)"/>
    <numFmt numFmtId="186" formatCode="0.0"/>
    <numFmt numFmtId="187" formatCode="&quot;Yes&quot;;&quot;Yes&quot;;&quot;No&quot;"/>
    <numFmt numFmtId="188" formatCode="&quot;True&quot;;&quot;True&quot;;&quot;False&quot;"/>
    <numFmt numFmtId="189" formatCode="&quot;On&quot;;&quot;On&quot;;&quot;Off&quot;"/>
    <numFmt numFmtId="190" formatCode="0.000000"/>
    <numFmt numFmtId="191" formatCode="0.0000000"/>
    <numFmt numFmtId="192" formatCode="0.00000000"/>
    <numFmt numFmtId="193" formatCode="0.000000000"/>
    <numFmt numFmtId="194" formatCode="0.0000000000"/>
    <numFmt numFmtId="195" formatCode="0.00000000000"/>
    <numFmt numFmtId="196" formatCode="0.000000000000"/>
    <numFmt numFmtId="197" formatCode="0.00000"/>
    <numFmt numFmtId="198" formatCode="0.0000"/>
    <numFmt numFmtId="199" formatCode="0.000"/>
    <numFmt numFmtId="200" formatCode="h:mm\ \a\.m\./\p\.m\."/>
    <numFmt numFmtId="201" formatCode="_(* #,##0.000_);_(* \(#,##0.000\);_(* &quot;-&quot;??_);_(@_)"/>
    <numFmt numFmtId="202" formatCode="0.0%"/>
    <numFmt numFmtId="203" formatCode="#,##0.0"/>
    <numFmt numFmtId="204" formatCode="0.00_);\(0.00\)"/>
    <numFmt numFmtId="205" formatCode="0.000_);\(0.000\)"/>
    <numFmt numFmtId="206" formatCode="0.0000_);\(0.0000\)"/>
    <numFmt numFmtId="207" formatCode="0.0_);\(0.0\)"/>
    <numFmt numFmtId="208" formatCode="0_);\(0\)"/>
    <numFmt numFmtId="209" formatCode="0\ %"/>
    <numFmt numFmtId="210" formatCode="0\ &quot;%&quot;"/>
  </numFmts>
  <fonts count="28">
    <font>
      <sz val="10"/>
      <name val="Arial"/>
      <family val="0"/>
    </font>
    <font>
      <b/>
      <sz val="8"/>
      <name val="Arial"/>
      <family val="2"/>
    </font>
    <font>
      <sz val="8"/>
      <name val="Arial"/>
      <family val="2"/>
    </font>
    <font>
      <sz val="8"/>
      <color indexed="10"/>
      <name val="Arial"/>
      <family val="2"/>
    </font>
    <font>
      <b/>
      <sz val="10"/>
      <name val="Arial"/>
      <family val="2"/>
    </font>
    <font>
      <b/>
      <sz val="9"/>
      <name val="Arial"/>
      <family val="2"/>
    </font>
    <font>
      <sz val="9"/>
      <name val="Arial"/>
      <family val="2"/>
    </font>
    <font>
      <b/>
      <sz val="8"/>
      <color indexed="9"/>
      <name val="Arial"/>
      <family val="2"/>
    </font>
    <font>
      <b/>
      <sz val="12"/>
      <name val="Arial"/>
      <family val="2"/>
    </font>
    <font>
      <b/>
      <sz val="14"/>
      <color indexed="12"/>
      <name val="Arial"/>
      <family val="2"/>
    </font>
    <font>
      <sz val="14"/>
      <color indexed="12"/>
      <name val="Arial"/>
      <family val="2"/>
    </font>
    <font>
      <b/>
      <vertAlign val="subscript"/>
      <sz val="8"/>
      <name val="Arial"/>
      <family val="2"/>
    </font>
    <font>
      <b/>
      <sz val="16"/>
      <color indexed="18"/>
      <name val="Arial"/>
      <family val="2"/>
    </font>
    <font>
      <b/>
      <sz val="12"/>
      <color indexed="18"/>
      <name val="Arial"/>
      <family val="2"/>
    </font>
    <font>
      <sz val="3.5"/>
      <name val="Arial"/>
      <family val="0"/>
    </font>
    <font>
      <sz val="7"/>
      <color indexed="10"/>
      <name val="Arial"/>
      <family val="2"/>
    </font>
    <font>
      <sz val="8"/>
      <color indexed="9"/>
      <name val="Arial"/>
      <family val="2"/>
    </font>
    <font>
      <b/>
      <sz val="9"/>
      <color indexed="10"/>
      <name val="Arial"/>
      <family val="2"/>
    </font>
    <font>
      <sz val="8"/>
      <color indexed="8"/>
      <name val="Arial"/>
      <family val="2"/>
    </font>
    <font>
      <b/>
      <i/>
      <sz val="8"/>
      <name val="Arial"/>
      <family val="2"/>
    </font>
    <font>
      <sz val="10"/>
      <color indexed="9"/>
      <name val="Arial"/>
      <family val="2"/>
    </font>
    <font>
      <b/>
      <sz val="6"/>
      <name val="Arial"/>
      <family val="2"/>
    </font>
    <font>
      <sz val="8"/>
      <color indexed="42"/>
      <name val="Arial"/>
      <family val="2"/>
    </font>
    <font>
      <b/>
      <sz val="7"/>
      <color indexed="42"/>
      <name val="Arial"/>
      <family val="2"/>
    </font>
    <font>
      <sz val="10"/>
      <color indexed="41"/>
      <name val="Arial"/>
      <family val="2"/>
    </font>
    <font>
      <sz val="10"/>
      <color indexed="18"/>
      <name val="Arial"/>
      <family val="2"/>
    </font>
    <font>
      <sz val="18"/>
      <name val="Arial"/>
      <family val="2"/>
    </font>
    <font>
      <sz val="8"/>
      <name val="Tahoma"/>
      <family val="0"/>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97">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otted"/>
      <top style="dotted"/>
      <bottom style="dotted"/>
    </border>
    <border>
      <left style="dotted"/>
      <right style="thin"/>
      <top style="dotted"/>
      <bottom style="dotted"/>
    </border>
    <border>
      <left style="dotted"/>
      <right style="dotted"/>
      <top style="dotted"/>
      <bottom style="dotted"/>
    </border>
    <border>
      <left style="thin"/>
      <right style="dotted"/>
      <top style="thin"/>
      <bottom style="thin"/>
    </border>
    <border>
      <left style="dotted"/>
      <right style="thin"/>
      <top style="thin"/>
      <bottom style="thin"/>
    </border>
    <border>
      <left style="dotted"/>
      <right style="thin"/>
      <top style="dotted"/>
      <bottom style="thin"/>
    </border>
    <border>
      <left style="thin"/>
      <right style="dotted"/>
      <top style="thin"/>
      <bottom style="dotted"/>
    </border>
    <border>
      <left style="dotted"/>
      <right style="thin"/>
      <top style="thin"/>
      <bottom style="dotted"/>
    </border>
    <border>
      <left style="thin"/>
      <right style="dotted"/>
      <top style="dotted"/>
      <bottom style="thin"/>
    </border>
    <border>
      <left style="dotted"/>
      <right style="dotted"/>
      <top style="thin"/>
      <bottom style="dotted"/>
    </border>
    <border>
      <left style="dotted"/>
      <right>
        <color indexed="63"/>
      </right>
      <top style="thin"/>
      <bottom style="dotted"/>
    </border>
    <border>
      <left>
        <color indexed="63"/>
      </left>
      <right>
        <color indexed="63"/>
      </right>
      <top style="thin"/>
      <bottom style="dotted"/>
    </border>
    <border>
      <left style="dotted"/>
      <right style="dotted"/>
      <top style="dotted"/>
      <bottom style="double"/>
    </border>
    <border>
      <left style="dotted"/>
      <right>
        <color indexed="63"/>
      </right>
      <top style="dotted"/>
      <bottom style="double"/>
    </border>
    <border>
      <left>
        <color indexed="63"/>
      </left>
      <right>
        <color indexed="63"/>
      </right>
      <top style="dotted"/>
      <bottom style="double"/>
    </border>
    <border>
      <left style="dotted"/>
      <right style="dotted"/>
      <top style="double"/>
      <bottom style="dotted"/>
    </border>
    <border>
      <left style="dotted"/>
      <right>
        <color indexed="63"/>
      </right>
      <top style="double"/>
      <bottom style="dotted"/>
    </border>
    <border>
      <left>
        <color indexed="63"/>
      </left>
      <right>
        <color indexed="63"/>
      </right>
      <top style="double"/>
      <bottom style="dotted"/>
    </border>
    <border>
      <left style="dotted"/>
      <right style="dotted"/>
      <top style="dotted"/>
      <bottom style="thin"/>
    </border>
    <border>
      <left>
        <color indexed="63"/>
      </left>
      <right style="dotted"/>
      <top>
        <color indexed="63"/>
      </top>
      <bottom style="double"/>
    </border>
    <border>
      <left style="dotted"/>
      <right style="thin"/>
      <top>
        <color indexed="63"/>
      </top>
      <bottom style="double"/>
    </border>
    <border>
      <left style="thin"/>
      <right>
        <color indexed="63"/>
      </right>
      <top style="double"/>
      <bottom style="thin"/>
    </border>
    <border>
      <left>
        <color indexed="63"/>
      </left>
      <right style="dotted"/>
      <top style="double"/>
      <bottom style="thin"/>
    </border>
    <border>
      <left style="dotted"/>
      <right>
        <color indexed="63"/>
      </right>
      <top>
        <color indexed="63"/>
      </top>
      <bottom style="thin"/>
    </border>
    <border>
      <left style="dotted"/>
      <right style="dotted"/>
      <top style="thin"/>
      <bottom style="thin"/>
    </border>
    <border>
      <left style="thin"/>
      <right style="dotted"/>
      <top>
        <color indexed="63"/>
      </top>
      <bottom style="dotted"/>
    </border>
    <border>
      <left style="dotted"/>
      <right style="dotted"/>
      <top>
        <color indexed="63"/>
      </top>
      <bottom style="dotted"/>
    </border>
    <border>
      <left style="dotted"/>
      <right style="thin"/>
      <top>
        <color indexed="63"/>
      </top>
      <bottom style="dotted"/>
    </border>
    <border>
      <left>
        <color indexed="63"/>
      </left>
      <right>
        <color indexed="63"/>
      </right>
      <top style="thin"/>
      <bottom style="thin"/>
    </border>
    <border>
      <left>
        <color indexed="63"/>
      </left>
      <right style="thin"/>
      <top style="thin"/>
      <bottom style="thin"/>
    </border>
    <border>
      <left style="thin"/>
      <right style="dotted"/>
      <top>
        <color indexed="63"/>
      </top>
      <bottom style="thin"/>
    </border>
    <border>
      <left style="dotted"/>
      <right style="thin"/>
      <top>
        <color indexed="63"/>
      </top>
      <bottom style="thin"/>
    </border>
    <border>
      <left>
        <color indexed="63"/>
      </left>
      <right style="dotted"/>
      <top style="double"/>
      <bottom style="dotted"/>
    </border>
    <border>
      <left>
        <color indexed="63"/>
      </left>
      <right style="dotted"/>
      <top style="dotted"/>
      <bottom>
        <color indexed="63"/>
      </bottom>
    </border>
    <border>
      <left style="dotted"/>
      <right>
        <color indexed="63"/>
      </right>
      <top style="double"/>
      <bottom>
        <color indexed="63"/>
      </bottom>
    </border>
    <border>
      <left style="dotted"/>
      <right>
        <color indexed="63"/>
      </right>
      <top>
        <color indexed="63"/>
      </top>
      <bottom style="double"/>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dotted"/>
      <top style="dotted"/>
      <bottom>
        <color indexed="63"/>
      </bottom>
    </border>
    <border>
      <left style="dotted"/>
      <right style="thin"/>
      <top style="dotted"/>
      <bottom>
        <color indexed="63"/>
      </bottom>
    </border>
    <border>
      <left style="dotted"/>
      <right>
        <color indexed="63"/>
      </right>
      <top style="dotted"/>
      <bottom>
        <color indexed="63"/>
      </bottom>
    </border>
    <border>
      <left>
        <color indexed="63"/>
      </left>
      <right style="dotted"/>
      <top>
        <color indexed="63"/>
      </top>
      <bottom style="dotted"/>
    </border>
    <border>
      <left>
        <color indexed="63"/>
      </left>
      <right style="thin"/>
      <top>
        <color indexed="63"/>
      </top>
      <bottom style="dotted"/>
    </border>
    <border>
      <left style="thin"/>
      <right style="thin"/>
      <top>
        <color indexed="63"/>
      </top>
      <bottom style="dotted"/>
    </border>
    <border>
      <left>
        <color indexed="63"/>
      </left>
      <right style="thin"/>
      <top style="thin"/>
      <bottom style="dotted"/>
    </border>
    <border>
      <left style="thin"/>
      <right>
        <color indexed="63"/>
      </right>
      <top style="thin"/>
      <bottom style="dotted"/>
    </border>
    <border>
      <left style="thin"/>
      <right>
        <color indexed="63"/>
      </right>
      <top style="dotted"/>
      <bottom style="dotted"/>
    </border>
    <border>
      <left>
        <color indexed="63"/>
      </left>
      <right style="thin"/>
      <top style="dotted"/>
      <bottom style="dotted"/>
    </border>
    <border>
      <left style="thin"/>
      <right>
        <color indexed="63"/>
      </right>
      <top>
        <color indexed="63"/>
      </top>
      <bottom style="dotted"/>
    </border>
    <border>
      <left style="thin"/>
      <right>
        <color indexed="63"/>
      </right>
      <top style="dotted"/>
      <bottom style="thin"/>
    </border>
    <border>
      <left>
        <color indexed="63"/>
      </left>
      <right style="thin"/>
      <top style="dotted"/>
      <bottom style="thin"/>
    </border>
    <border>
      <left style="thin"/>
      <right style="thin"/>
      <top style="thin"/>
      <bottom style="dotted"/>
    </border>
    <border>
      <left style="thin"/>
      <right style="thin"/>
      <top style="dotted"/>
      <bottom style="thin"/>
    </border>
    <border>
      <left style="thin"/>
      <right style="thin"/>
      <top style="dotted"/>
      <bottom>
        <color indexed="63"/>
      </bottom>
    </border>
    <border>
      <left>
        <color indexed="63"/>
      </left>
      <right>
        <color indexed="63"/>
      </right>
      <top style="dotted"/>
      <bottom style="dotted"/>
    </border>
    <border>
      <left>
        <color indexed="63"/>
      </left>
      <right>
        <color indexed="63"/>
      </right>
      <top style="dotted"/>
      <bottom style="thin"/>
    </border>
    <border>
      <left style="thin"/>
      <right style="dotted"/>
      <top style="thin"/>
      <bottom>
        <color indexed="63"/>
      </bottom>
    </border>
    <border>
      <left style="dotted"/>
      <right style="thin"/>
      <top style="thin"/>
      <bottom>
        <color indexed="63"/>
      </bottom>
    </border>
    <border>
      <left>
        <color indexed="63"/>
      </left>
      <right style="dotted"/>
      <top style="thin"/>
      <bottom style="dotted"/>
    </border>
    <border>
      <left>
        <color indexed="63"/>
      </left>
      <right style="dotted"/>
      <top style="dotted"/>
      <bottom style="dotted"/>
    </border>
    <border>
      <left>
        <color indexed="63"/>
      </left>
      <right style="dotted"/>
      <top style="dotted"/>
      <bottom style="thin"/>
    </border>
    <border>
      <left style="thin"/>
      <right>
        <color indexed="63"/>
      </right>
      <top style="double"/>
      <bottom>
        <color indexed="63"/>
      </bottom>
    </border>
    <border>
      <left>
        <color indexed="63"/>
      </left>
      <right style="dotted"/>
      <top style="double"/>
      <bottom>
        <color indexed="63"/>
      </bottom>
    </border>
    <border>
      <left style="thin"/>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style="double"/>
    </border>
    <border>
      <left style="thin"/>
      <right style="dotted"/>
      <top style="double"/>
      <bottom>
        <color indexed="63"/>
      </bottom>
    </border>
    <border>
      <left style="thin"/>
      <right style="dotted"/>
      <top>
        <color indexed="63"/>
      </top>
      <bottom style="double"/>
    </border>
    <border>
      <left style="thin"/>
      <right style="dotted"/>
      <top style="double"/>
      <bottom style="dotted"/>
    </border>
    <border>
      <left style="thin"/>
      <right style="dotted"/>
      <top style="dotted"/>
      <bottom style="double"/>
    </border>
    <border>
      <left>
        <color indexed="63"/>
      </left>
      <right style="thin"/>
      <top style="double"/>
      <bottom style="dotted"/>
    </border>
    <border>
      <left>
        <color indexed="63"/>
      </left>
      <right style="thin"/>
      <top style="dotted"/>
      <bottom style="double"/>
    </border>
    <border>
      <left style="dotted"/>
      <right style="thin"/>
      <top style="double"/>
      <bottom>
        <color indexed="63"/>
      </bottom>
    </border>
    <border>
      <left style="dotted"/>
      <right>
        <color indexed="63"/>
      </right>
      <top style="dotted"/>
      <bottom style="thin"/>
    </border>
    <border>
      <left style="dotted"/>
      <right>
        <color indexed="63"/>
      </right>
      <top style="dotted"/>
      <bottom style="dotted"/>
    </border>
    <border>
      <left>
        <color indexed="63"/>
      </left>
      <right style="dotted"/>
      <top style="thin"/>
      <bottom>
        <color indexed="63"/>
      </bottom>
    </border>
    <border>
      <left>
        <color indexed="63"/>
      </left>
      <right style="dotted"/>
      <top>
        <color indexed="63"/>
      </top>
      <bottom style="thin"/>
    </border>
    <border>
      <left>
        <color indexed="63"/>
      </left>
      <right style="dotted"/>
      <top>
        <color indexed="63"/>
      </top>
      <bottom>
        <color indexed="63"/>
      </bottom>
    </border>
    <border>
      <left style="dotted"/>
      <right style="dotted"/>
      <top style="double"/>
      <bottom>
        <color indexed="63"/>
      </bottom>
    </border>
    <border>
      <left style="dotted"/>
      <right style="dotted"/>
      <top>
        <color indexed="63"/>
      </top>
      <bottom>
        <color indexed="63"/>
      </bottom>
    </border>
    <border>
      <left style="dotted"/>
      <right style="thin"/>
      <top>
        <color indexed="63"/>
      </top>
      <bottom>
        <color indexed="63"/>
      </bottom>
    </border>
    <border>
      <left>
        <color indexed="63"/>
      </left>
      <right>
        <color indexed="63"/>
      </right>
      <top style="dotted"/>
      <bottom>
        <color indexed="63"/>
      </bottom>
    </border>
    <border>
      <left>
        <color indexed="63"/>
      </left>
      <right>
        <color indexed="63"/>
      </right>
      <top>
        <color indexed="63"/>
      </top>
      <bottom style="dotted"/>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71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center"/>
    </xf>
    <xf numFmtId="0" fontId="2" fillId="2" borderId="0" xfId="0" applyFont="1" applyFill="1" applyAlignment="1">
      <alignment horizontal="center"/>
    </xf>
    <xf numFmtId="0" fontId="1" fillId="2" borderId="1" xfId="0" applyFont="1" applyFill="1" applyBorder="1" applyAlignment="1">
      <alignment/>
    </xf>
    <xf numFmtId="0" fontId="1" fillId="2" borderId="2" xfId="0" applyFont="1" applyFill="1" applyBorder="1" applyAlignment="1">
      <alignment/>
    </xf>
    <xf numFmtId="0" fontId="1" fillId="2" borderId="2" xfId="0" applyFont="1" applyFill="1" applyBorder="1" applyAlignment="1">
      <alignment horizontal="right"/>
    </xf>
    <xf numFmtId="0" fontId="1" fillId="2" borderId="3" xfId="0" applyFont="1" applyFill="1" applyBorder="1" applyAlignment="1">
      <alignment/>
    </xf>
    <xf numFmtId="0" fontId="1" fillId="2" borderId="4" xfId="0" applyFont="1" applyFill="1" applyBorder="1" applyAlignment="1">
      <alignment/>
    </xf>
    <xf numFmtId="0" fontId="1" fillId="2" borderId="0" xfId="0" applyFont="1" applyFill="1" applyBorder="1" applyAlignment="1">
      <alignment/>
    </xf>
    <xf numFmtId="0" fontId="1" fillId="2" borderId="0" xfId="0" applyFont="1" applyFill="1" applyBorder="1" applyAlignment="1">
      <alignment horizontal="right"/>
    </xf>
    <xf numFmtId="0" fontId="1" fillId="2" borderId="5" xfId="0" applyFont="1" applyFill="1" applyBorder="1" applyAlignment="1">
      <alignment/>
    </xf>
    <xf numFmtId="0" fontId="1" fillId="2" borderId="6" xfId="0" applyFont="1" applyFill="1" applyBorder="1" applyAlignment="1">
      <alignment/>
    </xf>
    <xf numFmtId="0" fontId="1" fillId="2" borderId="7" xfId="0" applyFont="1" applyFill="1" applyBorder="1" applyAlignment="1">
      <alignment/>
    </xf>
    <xf numFmtId="0" fontId="1" fillId="2" borderId="8" xfId="0" applyFont="1" applyFill="1" applyBorder="1" applyAlignment="1">
      <alignment/>
    </xf>
    <xf numFmtId="0" fontId="2" fillId="0" borderId="0" xfId="0" applyFont="1" applyFill="1" applyAlignment="1">
      <alignment/>
    </xf>
    <xf numFmtId="0" fontId="2" fillId="0" borderId="0" xfId="0" applyFont="1" applyFill="1" applyAlignment="1">
      <alignment wrapText="1"/>
    </xf>
    <xf numFmtId="0" fontId="2" fillId="3" borderId="0" xfId="0" applyFont="1" applyFill="1" applyAlignment="1">
      <alignment/>
    </xf>
    <xf numFmtId="0" fontId="2" fillId="0" borderId="0" xfId="0" applyFont="1" applyFill="1" applyBorder="1" applyAlignment="1">
      <alignment/>
    </xf>
    <xf numFmtId="0" fontId="4" fillId="0" borderId="0" xfId="0" applyFont="1" applyAlignment="1">
      <alignment/>
    </xf>
    <xf numFmtId="0" fontId="5" fillId="0" borderId="0" xfId="0" applyFont="1" applyAlignment="1">
      <alignment/>
    </xf>
    <xf numFmtId="0" fontId="0" fillId="0" borderId="0" xfId="0" applyAlignment="1">
      <alignment horizontal="right"/>
    </xf>
    <xf numFmtId="0" fontId="6" fillId="0" borderId="0" xfId="0" applyFont="1" applyAlignment="1">
      <alignment/>
    </xf>
    <xf numFmtId="0" fontId="7" fillId="2" borderId="2" xfId="0" applyFont="1" applyFill="1" applyBorder="1" applyAlignment="1">
      <alignment horizontal="right"/>
    </xf>
    <xf numFmtId="0" fontId="7" fillId="2" borderId="0" xfId="0" applyFont="1" applyFill="1" applyBorder="1" applyAlignment="1">
      <alignment horizontal="right"/>
    </xf>
    <xf numFmtId="0" fontId="2" fillId="0" borderId="0" xfId="0" applyFont="1" applyFill="1" applyAlignment="1">
      <alignment horizontal="center"/>
    </xf>
    <xf numFmtId="0" fontId="2" fillId="0" borderId="0" xfId="0" applyFont="1" applyAlignment="1" quotePrefix="1">
      <alignment/>
    </xf>
    <xf numFmtId="0" fontId="2" fillId="4" borderId="0" xfId="0" applyFont="1" applyFill="1" applyAlignment="1">
      <alignment/>
    </xf>
    <xf numFmtId="0" fontId="2" fillId="4" borderId="0" xfId="0" applyFont="1" applyFill="1" applyAlignment="1">
      <alignment horizontal="center"/>
    </xf>
    <xf numFmtId="0" fontId="4" fillId="4" borderId="0" xfId="0" applyFont="1" applyFill="1" applyAlignment="1">
      <alignment/>
    </xf>
    <xf numFmtId="0" fontId="1" fillId="4" borderId="0" xfId="0" applyFont="1" applyFill="1" applyAlignment="1">
      <alignment/>
    </xf>
    <xf numFmtId="0" fontId="2" fillId="4" borderId="0" xfId="0" applyFont="1" applyFill="1" applyAlignment="1">
      <alignment wrapText="1"/>
    </xf>
    <xf numFmtId="0" fontId="2" fillId="4" borderId="0" xfId="0" applyFont="1" applyFill="1" applyAlignment="1">
      <alignment horizontal="center" vertical="center" wrapText="1"/>
    </xf>
    <xf numFmtId="0" fontId="2" fillId="4" borderId="0" xfId="0" applyFont="1" applyFill="1" applyAlignment="1">
      <alignment horizontal="center" vertical="center"/>
    </xf>
    <xf numFmtId="0" fontId="4" fillId="0" borderId="0" xfId="0" applyFont="1" applyFill="1" applyAlignment="1">
      <alignment/>
    </xf>
    <xf numFmtId="0" fontId="5" fillId="0" borderId="9"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xf>
    <xf numFmtId="0" fontId="0" fillId="5" borderId="0" xfId="0" applyFill="1" applyAlignment="1">
      <alignment/>
    </xf>
    <xf numFmtId="0" fontId="0" fillId="5" borderId="0" xfId="0" applyFill="1" applyAlignment="1">
      <alignment horizontal="right"/>
    </xf>
    <xf numFmtId="0" fontId="0" fillId="5" borderId="0" xfId="0" applyFill="1" applyAlignment="1">
      <alignment horizontal="center"/>
    </xf>
    <xf numFmtId="0" fontId="1" fillId="5" borderId="0" xfId="0" applyFont="1" applyFill="1" applyBorder="1" applyAlignment="1" applyProtection="1">
      <alignment horizontal="center" vertical="center"/>
      <protection/>
    </xf>
    <xf numFmtId="0" fontId="1" fillId="5" borderId="0" xfId="0" applyFont="1" applyFill="1" applyAlignment="1" applyProtection="1">
      <alignment horizontal="center" vertical="center" wrapText="1"/>
      <protection/>
    </xf>
    <xf numFmtId="1" fontId="0" fillId="0" borderId="12" xfId="0" applyNumberFormat="1" applyFont="1" applyFill="1" applyBorder="1" applyAlignment="1" applyProtection="1">
      <alignment horizontal="center" vertical="center"/>
      <protection locked="0"/>
    </xf>
    <xf numFmtId="1" fontId="0" fillId="0" borderId="13" xfId="0" applyNumberFormat="1" applyFont="1" applyFill="1" applyBorder="1" applyAlignment="1" applyProtection="1">
      <alignment horizontal="center" vertical="center"/>
      <protection locked="0"/>
    </xf>
    <xf numFmtId="0" fontId="2" fillId="0" borderId="0" xfId="0" applyFont="1" applyBorder="1" applyAlignment="1">
      <alignment/>
    </xf>
    <xf numFmtId="0" fontId="2" fillId="5" borderId="0" xfId="0" applyFont="1" applyFill="1" applyAlignment="1">
      <alignment/>
    </xf>
    <xf numFmtId="0" fontId="2" fillId="5" borderId="0" xfId="0" applyFont="1" applyFill="1" applyAlignment="1">
      <alignment horizontal="center"/>
    </xf>
    <xf numFmtId="0" fontId="10" fillId="5" borderId="0" xfId="0" applyFont="1" applyFill="1" applyBorder="1" applyAlignment="1">
      <alignment vertical="center"/>
    </xf>
    <xf numFmtId="0" fontId="2" fillId="5" borderId="0" xfId="0" applyFont="1" applyFill="1" applyBorder="1" applyAlignment="1">
      <alignment/>
    </xf>
    <xf numFmtId="0" fontId="9" fillId="5" borderId="0" xfId="0" applyFont="1" applyFill="1" applyBorder="1" applyAlignment="1">
      <alignment horizontal="center" vertical="center"/>
    </xf>
    <xf numFmtId="0" fontId="2" fillId="5" borderId="0" xfId="0" applyFont="1" applyFill="1" applyBorder="1" applyAlignment="1">
      <alignment horizontal="center"/>
    </xf>
    <xf numFmtId="0" fontId="1" fillId="5" borderId="0" xfId="0" applyFont="1" applyFill="1" applyBorder="1" applyAlignment="1">
      <alignment vertical="center"/>
    </xf>
    <xf numFmtId="199" fontId="2" fillId="5" borderId="0" xfId="0" applyNumberFormat="1" applyFont="1" applyFill="1" applyBorder="1" applyAlignment="1">
      <alignment horizontal="center" vertical="center"/>
    </xf>
    <xf numFmtId="0" fontId="0" fillId="5" borderId="0" xfId="0" applyFill="1" applyBorder="1" applyAlignment="1">
      <alignment horizontal="center" vertical="center"/>
    </xf>
    <xf numFmtId="0" fontId="2" fillId="5" borderId="0" xfId="0" applyFont="1" applyFill="1" applyBorder="1" applyAlignment="1">
      <alignment horizontal="center" vertical="center"/>
    </xf>
    <xf numFmtId="0" fontId="4" fillId="5" borderId="0" xfId="0" applyFont="1" applyFill="1" applyBorder="1" applyAlignment="1">
      <alignment horizontal="left"/>
    </xf>
    <xf numFmtId="0" fontId="2" fillId="5" borderId="0" xfId="0" applyFont="1" applyFill="1" applyBorder="1" applyAlignment="1">
      <alignment vertical="center"/>
    </xf>
    <xf numFmtId="2" fontId="3" fillId="5" borderId="0" xfId="0" applyNumberFormat="1" applyFont="1" applyFill="1" applyBorder="1" applyAlignment="1">
      <alignment horizontal="center" vertical="center"/>
    </xf>
    <xf numFmtId="1" fontId="2" fillId="0" borderId="10" xfId="0" applyNumberFormat="1" applyFont="1" applyFill="1" applyBorder="1" applyAlignment="1">
      <alignment horizontal="center" vertical="center"/>
    </xf>
    <xf numFmtId="199" fontId="2" fillId="0" borderId="10" xfId="0" applyNumberFormat="1" applyFont="1" applyFill="1" applyBorder="1" applyAlignment="1">
      <alignment horizontal="center" vertical="center"/>
    </xf>
    <xf numFmtId="0" fontId="2" fillId="0" borderId="14" xfId="0" applyFont="1" applyFill="1" applyBorder="1" applyAlignment="1">
      <alignment horizontal="center" vertical="center"/>
    </xf>
    <xf numFmtId="199" fontId="1" fillId="0" borderId="15" xfId="0" applyNumberFormat="1" applyFont="1" applyFill="1" applyBorder="1" applyAlignment="1">
      <alignment horizontal="center" vertical="center" wrapText="1"/>
    </xf>
    <xf numFmtId="199" fontId="1" fillId="0" borderId="16" xfId="0" applyNumberFormat="1" applyFont="1" applyFill="1" applyBorder="1" applyAlignment="1">
      <alignment horizontal="center" vertical="center" wrapText="1"/>
    </xf>
    <xf numFmtId="1" fontId="2" fillId="0" borderId="9" xfId="0" applyNumberFormat="1" applyFont="1" applyFill="1" applyBorder="1" applyAlignment="1">
      <alignment horizontal="center" vertical="center"/>
    </xf>
    <xf numFmtId="199" fontId="2" fillId="0" borderId="9" xfId="0" applyNumberFormat="1" applyFont="1" applyFill="1" applyBorder="1" applyAlignment="1">
      <alignment horizontal="center" vertical="center"/>
    </xf>
    <xf numFmtId="199" fontId="2" fillId="0" borderId="17"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7" xfId="0" applyFont="1" applyFill="1" applyBorder="1" applyAlignment="1">
      <alignment horizontal="center" vertical="center"/>
    </xf>
    <xf numFmtId="0" fontId="1" fillId="0" borderId="17" xfId="0" applyFont="1" applyFill="1" applyBorder="1" applyAlignment="1">
      <alignment horizontal="left" vertical="center"/>
    </xf>
    <xf numFmtId="0" fontId="2" fillId="6" borderId="0" xfId="0" applyFont="1" applyFill="1" applyAlignment="1">
      <alignment/>
    </xf>
    <xf numFmtId="0" fontId="2" fillId="6" borderId="0" xfId="0" applyFont="1" applyFill="1" applyAlignment="1">
      <alignment horizontal="center"/>
    </xf>
    <xf numFmtId="0" fontId="10" fillId="6" borderId="0" xfId="0" applyFont="1" applyFill="1" applyBorder="1" applyAlignment="1">
      <alignment vertical="center"/>
    </xf>
    <xf numFmtId="0" fontId="2" fillId="6" borderId="0" xfId="0" applyFont="1" applyFill="1" applyBorder="1" applyAlignment="1">
      <alignment/>
    </xf>
    <xf numFmtId="0" fontId="2" fillId="6" borderId="0" xfId="0" applyFont="1" applyFill="1" applyBorder="1" applyAlignment="1">
      <alignment horizontal="center"/>
    </xf>
    <xf numFmtId="0" fontId="4" fillId="6" borderId="0" xfId="0" applyFont="1" applyFill="1" applyBorder="1" applyAlignment="1">
      <alignment horizontal="left"/>
    </xf>
    <xf numFmtId="1" fontId="1" fillId="6" borderId="0" xfId="0" applyNumberFormat="1" applyFont="1" applyFill="1" applyBorder="1" applyAlignment="1">
      <alignment horizontal="center" vertical="center"/>
    </xf>
    <xf numFmtId="0" fontId="12" fillId="3" borderId="0" xfId="0" applyFont="1" applyFill="1" applyAlignment="1">
      <alignment/>
    </xf>
    <xf numFmtId="0" fontId="13" fillId="5" borderId="0" xfId="0" applyFont="1" applyFill="1" applyAlignment="1">
      <alignment/>
    </xf>
    <xf numFmtId="0" fontId="2" fillId="3" borderId="0" xfId="0" applyFont="1" applyFill="1" applyAlignment="1">
      <alignment horizontal="center"/>
    </xf>
    <xf numFmtId="0" fontId="1" fillId="4"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18" fontId="2" fillId="4" borderId="0" xfId="0" applyNumberFormat="1" applyFont="1" applyFill="1" applyBorder="1" applyAlignment="1">
      <alignment horizontal="center" vertical="center" wrapText="1"/>
    </xf>
    <xf numFmtId="0" fontId="2" fillId="4" borderId="0" xfId="0" applyFont="1" applyFill="1" applyBorder="1" applyAlignment="1">
      <alignment horizontal="center" vertical="center"/>
    </xf>
    <xf numFmtId="186" fontId="2" fillId="4" borderId="0" xfId="0" applyNumberFormat="1" applyFont="1" applyFill="1" applyBorder="1" applyAlignment="1">
      <alignment horizontal="center" vertical="center" wrapText="1"/>
    </xf>
    <xf numFmtId="0" fontId="2" fillId="4" borderId="0" xfId="0" applyFont="1" applyFill="1" applyBorder="1" applyAlignment="1">
      <alignment vertical="center" wrapText="1"/>
    </xf>
    <xf numFmtId="0" fontId="2" fillId="2" borderId="0" xfId="0" applyFont="1" applyFill="1" applyAlignment="1">
      <alignment/>
    </xf>
    <xf numFmtId="0" fontId="1" fillId="2" borderId="17"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8" xfId="0" applyFont="1" applyFill="1" applyBorder="1" applyAlignment="1">
      <alignment horizontal="left" vertical="center" wrapText="1"/>
    </xf>
    <xf numFmtId="18" fontId="2" fillId="2" borderId="19" xfId="0" applyNumberFormat="1" applyFont="1" applyFill="1" applyBorder="1" applyAlignment="1">
      <alignment horizontal="right" vertical="center" wrapText="1"/>
    </xf>
    <xf numFmtId="18" fontId="2" fillId="2" borderId="20" xfId="0" applyNumberFormat="1" applyFont="1" applyFill="1" applyBorder="1" applyAlignment="1">
      <alignment horizontal="left" vertical="center" wrapText="1"/>
    </xf>
    <xf numFmtId="0" fontId="1" fillId="2" borderId="21" xfId="0" applyFont="1" applyFill="1" applyBorder="1" applyAlignment="1">
      <alignment horizontal="left" vertical="center" wrapText="1"/>
    </xf>
    <xf numFmtId="18" fontId="2" fillId="2" borderId="22" xfId="0" applyNumberFormat="1" applyFont="1" applyFill="1" applyBorder="1" applyAlignment="1">
      <alignment horizontal="right" vertical="center" wrapText="1"/>
    </xf>
    <xf numFmtId="18" fontId="2" fillId="2" borderId="23" xfId="0" applyNumberFormat="1" applyFont="1" applyFill="1" applyBorder="1" applyAlignment="1">
      <alignment horizontal="left" vertical="center" wrapText="1"/>
    </xf>
    <xf numFmtId="0" fontId="1" fillId="2" borderId="24" xfId="0" applyFont="1" applyFill="1" applyBorder="1" applyAlignment="1">
      <alignment horizontal="left" vertical="center" wrapText="1"/>
    </xf>
    <xf numFmtId="18" fontId="2" fillId="2" borderId="25" xfId="0" applyNumberFormat="1" applyFont="1" applyFill="1" applyBorder="1" applyAlignment="1">
      <alignment horizontal="right" vertical="center" wrapText="1"/>
    </xf>
    <xf numFmtId="18" fontId="2" fillId="2" borderId="26" xfId="0" applyNumberFormat="1" applyFont="1" applyFill="1" applyBorder="1" applyAlignment="1">
      <alignment horizontal="left" vertical="center" wrapText="1"/>
    </xf>
    <xf numFmtId="0" fontId="2" fillId="2" borderId="0" xfId="0" applyFont="1" applyFill="1" applyBorder="1" applyAlignment="1">
      <alignment/>
    </xf>
    <xf numFmtId="199" fontId="2" fillId="2" borderId="17" xfId="0" applyNumberFormat="1" applyFont="1" applyFill="1" applyBorder="1" applyAlignment="1">
      <alignment horizontal="center" vertical="center"/>
    </xf>
    <xf numFmtId="199" fontId="2" fillId="2" borderId="9" xfId="0" applyNumberFormat="1" applyFont="1" applyFill="1" applyBorder="1" applyAlignment="1">
      <alignment horizontal="center" vertical="center"/>
    </xf>
    <xf numFmtId="0" fontId="1" fillId="5" borderId="0" xfId="0" applyFont="1" applyFill="1" applyBorder="1" applyAlignment="1">
      <alignment vertical="center" wrapText="1"/>
    </xf>
    <xf numFmtId="199" fontId="5" fillId="5" borderId="0" xfId="0" applyNumberFormat="1" applyFont="1" applyFill="1" applyBorder="1" applyAlignment="1">
      <alignment horizontal="center" vertical="center"/>
    </xf>
    <xf numFmtId="0" fontId="1" fillId="5" borderId="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2" fontId="6" fillId="0" borderId="9" xfId="0" applyNumberFormat="1" applyFont="1" applyFill="1" applyBorder="1" applyAlignment="1">
      <alignment horizontal="center" vertical="center"/>
    </xf>
    <xf numFmtId="0" fontId="6" fillId="0" borderId="11" xfId="0" applyFont="1" applyFill="1" applyBorder="1" applyAlignment="1">
      <alignment horizontal="center" vertical="center"/>
    </xf>
    <xf numFmtId="1" fontId="6" fillId="0" borderId="9" xfId="0" applyNumberFormat="1" applyFont="1" applyFill="1" applyBorder="1" applyAlignment="1" applyProtection="1">
      <alignment horizontal="center" vertical="center"/>
      <protection locked="0"/>
    </xf>
    <xf numFmtId="1" fontId="6" fillId="0" borderId="10" xfId="0" applyNumberFormat="1" applyFont="1" applyFill="1" applyBorder="1" applyAlignment="1" applyProtection="1">
      <alignment horizontal="center" vertical="center"/>
      <protection locked="0"/>
    </xf>
    <xf numFmtId="1" fontId="6" fillId="0" borderId="11" xfId="0" applyNumberFormat="1" applyFont="1" applyFill="1" applyBorder="1" applyAlignment="1" applyProtection="1">
      <alignment horizontal="center" vertical="center"/>
      <protection locked="0"/>
    </xf>
    <xf numFmtId="1" fontId="6" fillId="0" borderId="17" xfId="0" applyNumberFormat="1" applyFont="1" applyFill="1" applyBorder="1" applyAlignment="1" applyProtection="1">
      <alignment horizontal="center" vertical="center"/>
      <protection locked="0"/>
    </xf>
    <xf numFmtId="1" fontId="6" fillId="0" borderId="14" xfId="0" applyNumberFormat="1" applyFont="1" applyFill="1" applyBorder="1" applyAlignment="1" applyProtection="1">
      <alignment horizontal="center" vertical="center"/>
      <protection locked="0"/>
    </xf>
    <xf numFmtId="1" fontId="6" fillId="0" borderId="27" xfId="0" applyNumberFormat="1" applyFont="1" applyFill="1" applyBorder="1" applyAlignment="1" applyProtection="1">
      <alignment horizontal="center" vertical="center"/>
      <protection locked="0"/>
    </xf>
    <xf numFmtId="0" fontId="2" fillId="4" borderId="0" xfId="0" applyFont="1" applyFill="1" applyAlignment="1">
      <alignment vertical="center"/>
    </xf>
    <xf numFmtId="0" fontId="2" fillId="0" borderId="0" xfId="0" applyFont="1" applyAlignment="1">
      <alignment vertical="center"/>
    </xf>
    <xf numFmtId="186" fontId="15" fillId="2" borderId="28" xfId="0" applyNumberFormat="1" applyFont="1" applyFill="1" applyBorder="1" applyAlignment="1">
      <alignment horizontal="center" vertical="center" wrapText="1"/>
    </xf>
    <xf numFmtId="186" fontId="15" fillId="2" borderId="29" xfId="0" applyNumberFormat="1" applyFont="1" applyFill="1" applyBorder="1" applyAlignment="1">
      <alignment horizontal="center" vertical="center" wrapText="1"/>
    </xf>
    <xf numFmtId="0" fontId="1" fillId="0" borderId="0" xfId="0" applyFont="1" applyAlignment="1">
      <alignment horizontal="center"/>
    </xf>
    <xf numFmtId="0" fontId="1" fillId="4" borderId="0" xfId="0" applyFont="1" applyFill="1" applyAlignment="1">
      <alignment horizontal="center"/>
    </xf>
    <xf numFmtId="0" fontId="0" fillId="4" borderId="0" xfId="0" applyFill="1" applyBorder="1" applyAlignment="1">
      <alignment/>
    </xf>
    <xf numFmtId="0" fontId="1" fillId="4" borderId="0" xfId="0" applyFont="1" applyFill="1" applyBorder="1" applyAlignment="1">
      <alignment horizontal="center"/>
    </xf>
    <xf numFmtId="0" fontId="2" fillId="5" borderId="0" xfId="0" applyFont="1" applyFill="1" applyAlignment="1">
      <alignment wrapText="1"/>
    </xf>
    <xf numFmtId="186" fontId="2" fillId="5" borderId="0" xfId="0" applyNumberFormat="1" applyFont="1" applyFill="1" applyBorder="1" applyAlignment="1">
      <alignment horizontal="center" vertical="center" wrapText="1"/>
    </xf>
    <xf numFmtId="0" fontId="1" fillId="5" borderId="0" xfId="0" applyFont="1" applyFill="1" applyBorder="1" applyAlignment="1">
      <alignment horizontal="right"/>
    </xf>
    <xf numFmtId="0" fontId="1" fillId="5" borderId="0" xfId="0" applyFont="1" applyFill="1" applyBorder="1" applyAlignment="1">
      <alignment/>
    </xf>
    <xf numFmtId="0" fontId="1" fillId="6" borderId="0" xfId="0" applyFont="1" applyFill="1" applyBorder="1" applyAlignment="1">
      <alignment horizontal="right"/>
    </xf>
    <xf numFmtId="0" fontId="1" fillId="6" borderId="0" xfId="0" applyFont="1" applyFill="1" applyBorder="1" applyAlignment="1">
      <alignment/>
    </xf>
    <xf numFmtId="18" fontId="2" fillId="0" borderId="0" xfId="0" applyNumberFormat="1" applyFont="1" applyFill="1" applyBorder="1" applyAlignment="1">
      <alignment horizontal="center" vertical="center" wrapText="1"/>
    </xf>
    <xf numFmtId="18" fontId="2" fillId="0" borderId="0" xfId="0" applyNumberFormat="1"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vertical="center" wrapText="1"/>
    </xf>
    <xf numFmtId="18" fontId="2" fillId="0" borderId="0" xfId="0" applyNumberFormat="1" applyFont="1" applyFill="1" applyBorder="1" applyAlignment="1">
      <alignment horizontal="right" vertical="center" wrapText="1"/>
    </xf>
    <xf numFmtId="186" fontId="2" fillId="0" borderId="0" xfId="0" applyNumberFormat="1" applyFont="1" applyFill="1" applyBorder="1" applyAlignment="1">
      <alignment horizontal="center" vertical="center" wrapText="1"/>
    </xf>
    <xf numFmtId="0" fontId="1" fillId="2" borderId="30" xfId="0" applyFont="1" applyFill="1" applyBorder="1" applyAlignment="1">
      <alignment horizontal="left" vertical="top" wrapText="1"/>
    </xf>
    <xf numFmtId="0" fontId="1" fillId="2" borderId="31" xfId="0" applyFont="1" applyFill="1" applyBorder="1" applyAlignment="1">
      <alignment horizontal="left" vertical="center" wrapText="1"/>
    </xf>
    <xf numFmtId="18" fontId="2" fillId="2" borderId="32" xfId="0" applyNumberFormat="1" applyFont="1" applyFill="1" applyBorder="1" applyAlignment="1">
      <alignment horizontal="right" vertical="center" wrapText="1"/>
    </xf>
    <xf numFmtId="18" fontId="2" fillId="2" borderId="7" xfId="0" applyNumberFormat="1" applyFont="1" applyFill="1" applyBorder="1" applyAlignment="1">
      <alignment horizontal="left" vertical="center" wrapText="1"/>
    </xf>
    <xf numFmtId="0" fontId="1" fillId="4" borderId="0" xfId="0" applyFont="1" applyFill="1" applyBorder="1" applyAlignment="1">
      <alignment horizontal="left" vertical="top" wrapText="1"/>
    </xf>
    <xf numFmtId="0" fontId="1" fillId="4" borderId="0" xfId="0" applyFont="1" applyFill="1" applyBorder="1" applyAlignment="1">
      <alignment horizontal="left" vertical="center" wrapText="1"/>
    </xf>
    <xf numFmtId="18" fontId="2" fillId="4" borderId="0" xfId="0" applyNumberFormat="1" applyFont="1" applyFill="1" applyBorder="1" applyAlignment="1">
      <alignment horizontal="right" vertical="center" wrapText="1"/>
    </xf>
    <xf numFmtId="18" fontId="2" fillId="4" borderId="0" xfId="0" applyNumberFormat="1" applyFont="1" applyFill="1" applyBorder="1" applyAlignment="1">
      <alignment horizontal="left" vertical="center" wrapText="1"/>
    </xf>
    <xf numFmtId="0" fontId="1" fillId="5" borderId="0" xfId="0" applyFont="1" applyFill="1" applyBorder="1" applyAlignment="1">
      <alignment horizontal="left" vertical="top" wrapText="1"/>
    </xf>
    <xf numFmtId="0" fontId="1" fillId="5" borderId="0" xfId="0" applyFont="1" applyFill="1" applyBorder="1" applyAlignment="1">
      <alignment horizontal="left" vertical="center" wrapText="1"/>
    </xf>
    <xf numFmtId="18" fontId="2" fillId="5" borderId="0" xfId="0" applyNumberFormat="1" applyFont="1" applyFill="1" applyBorder="1" applyAlignment="1">
      <alignment horizontal="right" vertical="center" wrapText="1"/>
    </xf>
    <xf numFmtId="18" fontId="2" fillId="5" borderId="0" xfId="0" applyNumberFormat="1" applyFont="1" applyFill="1" applyBorder="1" applyAlignment="1">
      <alignment horizontal="center" vertical="center" wrapText="1"/>
    </xf>
    <xf numFmtId="18" fontId="2" fillId="5" borderId="0" xfId="0" applyNumberFormat="1" applyFont="1" applyFill="1" applyBorder="1" applyAlignment="1">
      <alignment horizontal="left" vertical="center" wrapText="1"/>
    </xf>
    <xf numFmtId="0" fontId="2" fillId="5" borderId="0" xfId="0" applyFont="1" applyFill="1" applyBorder="1" applyAlignment="1">
      <alignment horizontal="center" vertical="center" wrapText="1"/>
    </xf>
    <xf numFmtId="0" fontId="2" fillId="5" borderId="0" xfId="0" applyFont="1" applyFill="1" applyBorder="1" applyAlignment="1">
      <alignment vertical="center" wrapText="1"/>
    </xf>
    <xf numFmtId="0" fontId="2" fillId="5" borderId="0" xfId="0" applyFont="1" applyFill="1" applyBorder="1" applyAlignment="1">
      <alignment wrapText="1"/>
    </xf>
    <xf numFmtId="0" fontId="2" fillId="5" borderId="0" xfId="0" applyFont="1" applyFill="1" applyBorder="1" applyAlignment="1">
      <alignment horizontal="center" vertical="top"/>
    </xf>
    <xf numFmtId="0" fontId="2" fillId="6" borderId="0" xfId="0" applyFont="1" applyFill="1" applyBorder="1" applyAlignment="1">
      <alignment horizontal="center" vertical="top"/>
    </xf>
    <xf numFmtId="0" fontId="2" fillId="0" borderId="0" xfId="0" applyFont="1" applyFill="1" applyBorder="1" applyAlignment="1">
      <alignment horizontal="center" vertical="top"/>
    </xf>
    <xf numFmtId="0" fontId="1" fillId="0" borderId="0" xfId="0" applyFont="1" applyFill="1" applyBorder="1" applyAlignment="1">
      <alignment horizontal="right"/>
    </xf>
    <xf numFmtId="0" fontId="1" fillId="0" borderId="0" xfId="0" applyFont="1" applyFill="1" applyBorder="1" applyAlignment="1">
      <alignment/>
    </xf>
    <xf numFmtId="0" fontId="2" fillId="0" borderId="0" xfId="0" applyFont="1" applyFill="1" applyBorder="1" applyAlignment="1">
      <alignment horizontal="center"/>
    </xf>
    <xf numFmtId="186" fontId="15" fillId="5" borderId="0" xfId="0" applyNumberFormat="1" applyFont="1" applyFill="1" applyBorder="1" applyAlignment="1">
      <alignment horizontal="center" vertical="center" wrapText="1"/>
    </xf>
    <xf numFmtId="186" fontId="15" fillId="0" borderId="0" xfId="0" applyNumberFormat="1" applyFont="1" applyFill="1" applyBorder="1" applyAlignment="1">
      <alignment horizontal="center" vertical="center" wrapText="1"/>
    </xf>
    <xf numFmtId="0" fontId="1" fillId="6" borderId="0" xfId="0" applyFont="1" applyFill="1" applyBorder="1" applyAlignment="1">
      <alignment horizontal="left" vertical="top" wrapText="1"/>
    </xf>
    <xf numFmtId="186" fontId="15" fillId="6" borderId="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xf>
    <xf numFmtId="1" fontId="1" fillId="0" borderId="12" xfId="0" applyNumberFormat="1" applyFont="1" applyFill="1" applyBorder="1" applyAlignment="1">
      <alignment horizontal="center" vertical="center"/>
    </xf>
    <xf numFmtId="1" fontId="1" fillId="0" borderId="33" xfId="0" applyNumberFormat="1" applyFont="1" applyFill="1" applyBorder="1" applyAlignment="1">
      <alignment horizontal="center" vertical="center"/>
    </xf>
    <xf numFmtId="1" fontId="1" fillId="0" borderId="13" xfId="0" applyNumberFormat="1" applyFont="1" applyFill="1" applyBorder="1" applyAlignment="1">
      <alignment horizontal="center" vertical="center"/>
    </xf>
    <xf numFmtId="0" fontId="0" fillId="0" borderId="0" xfId="0" applyFill="1" applyAlignment="1">
      <alignment/>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0" fillId="0" borderId="0" xfId="0" applyFont="1" applyAlignment="1">
      <alignment horizontal="center"/>
    </xf>
    <xf numFmtId="2" fontId="6" fillId="0" borderId="11" xfId="0" applyNumberFormat="1" applyFont="1" applyFill="1" applyBorder="1" applyAlignment="1">
      <alignment horizontal="center" vertical="center"/>
    </xf>
    <xf numFmtId="199" fontId="6" fillId="0" borderId="9" xfId="0" applyNumberFormat="1" applyFont="1" applyFill="1" applyBorder="1" applyAlignment="1">
      <alignment horizontal="center" vertical="center"/>
    </xf>
    <xf numFmtId="199" fontId="6" fillId="0" borderId="11" xfId="0" applyNumberFormat="1" applyFont="1" applyFill="1" applyBorder="1" applyAlignment="1">
      <alignment horizontal="center" vertical="center"/>
    </xf>
    <xf numFmtId="1" fontId="0" fillId="0" borderId="0" xfId="0" applyNumberFormat="1" applyAlignment="1">
      <alignment/>
    </xf>
    <xf numFmtId="0" fontId="1" fillId="0" borderId="14" xfId="0" applyFont="1" applyBorder="1" applyAlignment="1">
      <alignment horizontal="left"/>
    </xf>
    <xf numFmtId="199" fontId="6" fillId="0" borderId="10" xfId="0" applyNumberFormat="1" applyFont="1" applyFill="1" applyBorder="1" applyAlignment="1">
      <alignment horizontal="center" vertical="center"/>
    </xf>
    <xf numFmtId="1" fontId="6" fillId="0" borderId="34" xfId="0" applyNumberFormat="1" applyFont="1" applyFill="1" applyBorder="1" applyAlignment="1">
      <alignment horizontal="center" vertical="center"/>
    </xf>
    <xf numFmtId="1" fontId="6" fillId="0" borderId="35" xfId="0" applyNumberFormat="1" applyFont="1" applyFill="1" applyBorder="1" applyAlignment="1">
      <alignment horizontal="center" vertical="center"/>
    </xf>
    <xf numFmtId="1" fontId="6" fillId="0" borderId="36" xfId="0" applyNumberFormat="1" applyFont="1" applyFill="1" applyBorder="1" applyAlignment="1">
      <alignment horizontal="center" vertical="center"/>
    </xf>
    <xf numFmtId="0" fontId="1" fillId="0" borderId="37" xfId="0" applyFont="1" applyFill="1" applyBorder="1" applyAlignment="1">
      <alignment horizontal="right" vertical="center"/>
    </xf>
    <xf numFmtId="0" fontId="1" fillId="0" borderId="38" xfId="0" applyFont="1" applyFill="1" applyBorder="1" applyAlignment="1">
      <alignment horizontal="left" vertical="center"/>
    </xf>
    <xf numFmtId="0" fontId="0" fillId="5" borderId="0" xfId="0" applyFill="1" applyAlignment="1">
      <alignment/>
    </xf>
    <xf numFmtId="0" fontId="5" fillId="5" borderId="0" xfId="0" applyFont="1" applyFill="1" applyAlignment="1" applyProtection="1">
      <alignment horizontal="center" vertical="center"/>
      <protection/>
    </xf>
    <xf numFmtId="0" fontId="18" fillId="0" borderId="9" xfId="0" applyFont="1" applyFill="1" applyBorder="1" applyAlignment="1">
      <alignment horizontal="center" vertical="center"/>
    </xf>
    <xf numFmtId="186" fontId="16" fillId="2" borderId="39" xfId="0" applyNumberFormat="1" applyFont="1" applyFill="1" applyBorder="1" applyAlignment="1">
      <alignment horizontal="center" vertical="center" wrapText="1"/>
    </xf>
    <xf numFmtId="186" fontId="16" fillId="2" borderId="40" xfId="0" applyNumberFormat="1" applyFont="1" applyFill="1" applyBorder="1" applyAlignment="1">
      <alignment horizontal="center" vertical="center" wrapText="1"/>
    </xf>
    <xf numFmtId="1" fontId="0" fillId="2" borderId="20" xfId="0" applyNumberFormat="1" applyFont="1" applyFill="1" applyBorder="1" applyAlignment="1">
      <alignment horizontal="center" vertical="center" wrapText="1"/>
    </xf>
    <xf numFmtId="1" fontId="0" fillId="2" borderId="23" xfId="0" applyNumberFormat="1" applyFont="1" applyFill="1" applyBorder="1" applyAlignment="1">
      <alignment horizontal="center" vertical="center" wrapText="1"/>
    </xf>
    <xf numFmtId="1" fontId="0" fillId="2" borderId="26" xfId="0" applyNumberFormat="1" applyFont="1" applyFill="1" applyBorder="1" applyAlignment="1">
      <alignment horizontal="center" vertical="center" wrapText="1"/>
    </xf>
    <xf numFmtId="1" fontId="0" fillId="2" borderId="7" xfId="0" applyNumberFormat="1" applyFont="1" applyFill="1" applyBorder="1" applyAlignment="1">
      <alignment horizontal="center" vertical="center" wrapText="1"/>
    </xf>
    <xf numFmtId="199" fontId="2" fillId="2" borderId="41" xfId="0" applyNumberFormat="1" applyFont="1" applyFill="1" applyBorder="1" applyAlignment="1">
      <alignment horizontal="center" vertical="center" wrapText="1"/>
    </xf>
    <xf numFmtId="18" fontId="19" fillId="2" borderId="42" xfId="0" applyNumberFormat="1" applyFont="1" applyFill="1" applyBorder="1" applyAlignment="1">
      <alignment horizontal="center" wrapText="1"/>
    </xf>
    <xf numFmtId="0" fontId="0" fillId="3" borderId="2" xfId="0" applyFill="1" applyBorder="1" applyAlignment="1">
      <alignment/>
    </xf>
    <xf numFmtId="0" fontId="0" fillId="3" borderId="0" xfId="0" applyFill="1" applyBorder="1" applyAlignment="1">
      <alignment/>
    </xf>
    <xf numFmtId="0" fontId="0" fillId="3" borderId="7" xfId="0" applyFill="1" applyBorder="1" applyAlignment="1">
      <alignment/>
    </xf>
    <xf numFmtId="0" fontId="0" fillId="0" borderId="0" xfId="0" applyFill="1" applyBorder="1" applyAlignment="1">
      <alignment/>
    </xf>
    <xf numFmtId="0" fontId="1" fillId="5" borderId="0" xfId="0" applyFont="1" applyFill="1" applyBorder="1" applyAlignment="1">
      <alignment horizontal="left" vertical="center"/>
    </xf>
    <xf numFmtId="0" fontId="5" fillId="5" borderId="0" xfId="0" applyFont="1" applyFill="1" applyBorder="1" applyAlignment="1" applyProtection="1">
      <alignment horizontal="center" vertical="center" wrapText="1"/>
      <protection/>
    </xf>
    <xf numFmtId="0" fontId="5" fillId="5" borderId="0" xfId="0" applyFont="1" applyFill="1" applyBorder="1" applyAlignment="1" applyProtection="1">
      <alignment horizontal="center" vertical="center"/>
      <protection/>
    </xf>
    <xf numFmtId="0" fontId="1" fillId="5" borderId="0" xfId="0" applyFont="1" applyFill="1" applyBorder="1" applyAlignment="1" applyProtection="1">
      <alignment horizontal="center" vertical="center" wrapText="1"/>
      <protection/>
    </xf>
    <xf numFmtId="1" fontId="1" fillId="5" borderId="0" xfId="0" applyNumberFormat="1" applyFont="1" applyFill="1" applyBorder="1" applyAlignment="1">
      <alignment horizontal="center" vertical="center"/>
    </xf>
    <xf numFmtId="0" fontId="1" fillId="5" borderId="0" xfId="0" applyFont="1" applyFill="1" applyBorder="1" applyAlignment="1">
      <alignment horizontal="right" vertical="center"/>
    </xf>
    <xf numFmtId="1" fontId="6" fillId="5" borderId="0" xfId="0" applyNumberFormat="1" applyFont="1" applyFill="1" applyBorder="1" applyAlignment="1">
      <alignment horizontal="center" vertical="center"/>
    </xf>
    <xf numFmtId="0" fontId="6" fillId="5" borderId="0" xfId="0" applyFont="1" applyFill="1" applyBorder="1" applyAlignment="1">
      <alignment horizontal="center" vertical="center"/>
    </xf>
    <xf numFmtId="2" fontId="6" fillId="5" borderId="0" xfId="0" applyNumberFormat="1" applyFont="1" applyFill="1" applyBorder="1" applyAlignment="1">
      <alignment horizontal="center" vertical="center"/>
    </xf>
    <xf numFmtId="199" fontId="6" fillId="5" borderId="0" xfId="0" applyNumberFormat="1" applyFont="1" applyFill="1" applyBorder="1" applyAlignment="1">
      <alignment horizontal="center" vertical="center"/>
    </xf>
    <xf numFmtId="0" fontId="1" fillId="5" borderId="0" xfId="0" applyFont="1" applyFill="1" applyBorder="1" applyAlignment="1">
      <alignment horizontal="left"/>
    </xf>
    <xf numFmtId="199" fontId="1" fillId="5" borderId="0" xfId="0" applyNumberFormat="1" applyFont="1" applyFill="1" applyBorder="1" applyAlignment="1">
      <alignment horizontal="center" vertical="center" wrapText="1"/>
    </xf>
    <xf numFmtId="1" fontId="2" fillId="5" borderId="0" xfId="0" applyNumberFormat="1" applyFont="1" applyFill="1" applyBorder="1" applyAlignment="1">
      <alignment horizontal="center" vertical="center"/>
    </xf>
    <xf numFmtId="1" fontId="2" fillId="2" borderId="43" xfId="0" applyNumberFormat="1" applyFont="1" applyFill="1" applyBorder="1" applyAlignment="1">
      <alignment horizontal="center" vertical="center"/>
    </xf>
    <xf numFmtId="1" fontId="2" fillId="2" borderId="44" xfId="0" applyNumberFormat="1" applyFont="1" applyFill="1" applyBorder="1" applyAlignment="1">
      <alignment horizontal="center" vertical="center"/>
    </xf>
    <xf numFmtId="199" fontId="1" fillId="5" borderId="0" xfId="0" applyNumberFormat="1" applyFont="1" applyFill="1" applyBorder="1" applyAlignment="1">
      <alignment horizontal="left" vertical="center"/>
    </xf>
    <xf numFmtId="0" fontId="4" fillId="4" borderId="0" xfId="0" applyFont="1" applyFill="1" applyAlignment="1">
      <alignment horizontal="left"/>
    </xf>
    <xf numFmtId="0" fontId="16" fillId="6" borderId="0" xfId="0" applyFont="1" applyFill="1" applyAlignment="1">
      <alignment/>
    </xf>
    <xf numFmtId="0" fontId="1" fillId="0" borderId="45"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2" fillId="4" borderId="0" xfId="0" applyFont="1" applyFill="1" applyBorder="1" applyAlignment="1">
      <alignment horizontal="center"/>
    </xf>
    <xf numFmtId="0" fontId="21" fillId="0" borderId="47" xfId="0" applyFont="1" applyBorder="1" applyAlignment="1">
      <alignment horizontal="center" vertical="top" wrapText="1"/>
    </xf>
    <xf numFmtId="0" fontId="16" fillId="0" borderId="46" xfId="0" applyFont="1" applyFill="1" applyBorder="1" applyAlignment="1">
      <alignment vertical="center"/>
    </xf>
    <xf numFmtId="0" fontId="16" fillId="0" borderId="5" xfId="0" applyFont="1" applyFill="1" applyBorder="1" applyAlignment="1">
      <alignment vertical="center"/>
    </xf>
    <xf numFmtId="0" fontId="2" fillId="0" borderId="0" xfId="0" applyFont="1" applyFill="1" applyBorder="1" applyAlignment="1">
      <alignment horizontal="right" vertical="center"/>
    </xf>
    <xf numFmtId="0" fontId="2" fillId="0" borderId="1" xfId="0" applyFont="1" applyFill="1" applyBorder="1" applyAlignment="1">
      <alignment horizontal="right" vertical="center"/>
    </xf>
    <xf numFmtId="0" fontId="16" fillId="0" borderId="3" xfId="0" applyFont="1" applyFill="1" applyBorder="1" applyAlignment="1">
      <alignment vertical="center"/>
    </xf>
    <xf numFmtId="0" fontId="16" fillId="2" borderId="48" xfId="0" applyFont="1" applyFill="1" applyBorder="1" applyAlignment="1">
      <alignment/>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3" borderId="0" xfId="0" applyFont="1" applyFill="1" applyBorder="1" applyAlignment="1">
      <alignment vertical="center" wrapText="1"/>
    </xf>
    <xf numFmtId="0" fontId="2" fillId="3" borderId="3" xfId="0" applyFont="1" applyFill="1" applyBorder="1" applyAlignment="1">
      <alignment vertical="center" wrapText="1"/>
    </xf>
    <xf numFmtId="0" fontId="2" fillId="0" borderId="47" xfId="0" applyFont="1" applyBorder="1" applyAlignment="1">
      <alignment horizontal="center" vertical="center" wrapText="1"/>
    </xf>
    <xf numFmtId="0" fontId="2" fillId="4" borderId="0" xfId="0" applyFont="1" applyFill="1" applyAlignment="1">
      <alignment/>
    </xf>
    <xf numFmtId="0" fontId="2" fillId="0" borderId="0" xfId="0" applyFont="1" applyAlignment="1">
      <alignment/>
    </xf>
    <xf numFmtId="0" fontId="2" fillId="0" borderId="3" xfId="0" applyFont="1" applyBorder="1" applyAlignment="1">
      <alignment horizontal="center" vertical="center" wrapText="1"/>
    </xf>
    <xf numFmtId="0" fontId="2" fillId="3" borderId="5" xfId="0" applyFont="1" applyFill="1" applyBorder="1" applyAlignment="1">
      <alignment vertical="center" wrapText="1"/>
    </xf>
    <xf numFmtId="0" fontId="2" fillId="0" borderId="1" xfId="0" applyFont="1" applyBorder="1" applyAlignment="1">
      <alignment horizontal="center" vertical="center" wrapText="1"/>
    </xf>
    <xf numFmtId="1" fontId="2" fillId="4" borderId="0" xfId="0" applyNumberFormat="1" applyFont="1" applyFill="1" applyBorder="1" applyAlignment="1">
      <alignment horizontal="center" vertical="center" wrapText="1"/>
    </xf>
    <xf numFmtId="0" fontId="2" fillId="0" borderId="46" xfId="0" applyFont="1" applyBorder="1" applyAlignment="1">
      <alignment horizontal="center" vertical="center" wrapText="1"/>
    </xf>
    <xf numFmtId="0" fontId="22" fillId="4" borderId="0" xfId="0" applyFont="1" applyFill="1" applyBorder="1" applyAlignment="1">
      <alignment horizontal="center" vertical="center" wrapText="1"/>
    </xf>
    <xf numFmtId="0" fontId="22" fillId="4" borderId="0" xfId="0" applyFont="1" applyFill="1" applyBorder="1" applyAlignment="1">
      <alignment/>
    </xf>
    <xf numFmtId="0" fontId="22" fillId="4" borderId="0" xfId="0" applyFont="1" applyFill="1" applyBorder="1" applyAlignment="1">
      <alignment horizontal="center" vertical="center"/>
    </xf>
    <xf numFmtId="0" fontId="22" fillId="4" borderId="0" xfId="0" applyFont="1" applyFill="1" applyBorder="1" applyAlignment="1">
      <alignment horizontal="center"/>
    </xf>
    <xf numFmtId="0" fontId="23" fillId="4" borderId="0" xfId="0" applyFont="1" applyFill="1" applyBorder="1" applyAlignment="1">
      <alignment horizontal="center" vertical="center" wrapText="1"/>
    </xf>
    <xf numFmtId="186" fontId="22" fillId="4" borderId="0" xfId="0" applyNumberFormat="1" applyFont="1" applyFill="1" applyBorder="1" applyAlignment="1">
      <alignment horizontal="center" vertical="center" wrapText="1"/>
    </xf>
    <xf numFmtId="0" fontId="2" fillId="3" borderId="1" xfId="0" applyFont="1" applyFill="1" applyBorder="1" applyAlignment="1">
      <alignment vertical="center" wrapText="1"/>
    </xf>
    <xf numFmtId="0" fontId="2" fillId="3" borderId="4" xfId="0" applyFont="1" applyFill="1" applyBorder="1" applyAlignment="1">
      <alignment vertical="center" wrapText="1"/>
    </xf>
    <xf numFmtId="0" fontId="0" fillId="0" borderId="0" xfId="0" applyAlignment="1" applyProtection="1">
      <alignment/>
      <protection locked="0"/>
    </xf>
    <xf numFmtId="0" fontId="6" fillId="0" borderId="0" xfId="0" applyFont="1" applyAlignment="1" applyProtection="1">
      <alignment/>
      <protection locked="0"/>
    </xf>
    <xf numFmtId="0" fontId="16" fillId="0" borderId="0" xfId="0" applyFont="1" applyFill="1" applyBorder="1" applyAlignment="1">
      <alignment horizontal="center" vertical="center"/>
    </xf>
    <xf numFmtId="0" fontId="0" fillId="0" borderId="0" xfId="0" applyBorder="1" applyAlignment="1">
      <alignment/>
    </xf>
    <xf numFmtId="0" fontId="7" fillId="0" borderId="0" xfId="0" applyFont="1" applyFill="1" applyBorder="1" applyAlignment="1" quotePrefix="1">
      <alignment horizontal="right"/>
    </xf>
    <xf numFmtId="1" fontId="6" fillId="5" borderId="0" xfId="0" applyNumberFormat="1" applyFont="1" applyFill="1" applyBorder="1" applyAlignment="1" applyProtection="1">
      <alignment horizontal="center" vertical="center"/>
      <protection/>
    </xf>
    <xf numFmtId="0" fontId="0" fillId="3" borderId="0" xfId="0" applyFill="1" applyAlignment="1" applyProtection="1">
      <alignment/>
      <protection/>
    </xf>
    <xf numFmtId="0" fontId="0" fillId="0" borderId="0" xfId="0" applyAlignment="1" applyProtection="1">
      <alignment/>
      <protection/>
    </xf>
    <xf numFmtId="0" fontId="12" fillId="3" borderId="0" xfId="0" applyFont="1" applyFill="1" applyAlignment="1" applyProtection="1">
      <alignment/>
      <protection/>
    </xf>
    <xf numFmtId="0" fontId="4" fillId="3" borderId="0" xfId="0" applyFont="1" applyFill="1" applyAlignment="1" applyProtection="1">
      <alignment/>
      <protection/>
    </xf>
    <xf numFmtId="18" fontId="0" fillId="3" borderId="0" xfId="0" applyNumberFormat="1" applyFill="1" applyAlignment="1" applyProtection="1">
      <alignment/>
      <protection/>
    </xf>
    <xf numFmtId="0" fontId="0" fillId="3" borderId="0" xfId="0" applyFill="1" applyAlignment="1" applyProtection="1">
      <alignment horizontal="right"/>
      <protection/>
    </xf>
    <xf numFmtId="0" fontId="0" fillId="0" borderId="0" xfId="0" applyAlignment="1" applyProtection="1">
      <alignment horizontal="right"/>
      <protection/>
    </xf>
    <xf numFmtId="18" fontId="0" fillId="0" borderId="0" xfId="0" applyNumberFormat="1" applyAlignment="1" applyProtection="1">
      <alignment/>
      <protection/>
    </xf>
    <xf numFmtId="0" fontId="0" fillId="0" borderId="0" xfId="0" applyFill="1" applyAlignment="1" applyProtection="1">
      <alignment/>
      <protection/>
    </xf>
    <xf numFmtId="0" fontId="0" fillId="4" borderId="0" xfId="0" applyFill="1" applyAlignment="1" applyProtection="1">
      <alignment/>
      <protection/>
    </xf>
    <xf numFmtId="0" fontId="13" fillId="4" borderId="0" xfId="0" applyFont="1" applyFill="1" applyAlignment="1" applyProtection="1">
      <alignment/>
      <protection/>
    </xf>
    <xf numFmtId="18" fontId="0" fillId="4" borderId="0" xfId="0" applyNumberFormat="1" applyFill="1" applyAlignment="1" applyProtection="1">
      <alignment/>
      <protection/>
    </xf>
    <xf numFmtId="0" fontId="0" fillId="4" borderId="0" xfId="0" applyFill="1" applyAlignment="1" applyProtection="1">
      <alignment horizontal="right"/>
      <protection/>
    </xf>
    <xf numFmtId="0" fontId="1" fillId="4" borderId="0" xfId="0" applyFont="1" applyFill="1" applyAlignment="1" applyProtection="1">
      <alignment horizontal="center"/>
      <protection/>
    </xf>
    <xf numFmtId="0" fontId="1" fillId="4" borderId="0" xfId="0" applyFont="1" applyFill="1" applyAlignment="1" applyProtection="1">
      <alignment horizontal="left"/>
      <protection/>
    </xf>
    <xf numFmtId="0" fontId="0" fillId="4" borderId="0" xfId="0" applyFont="1" applyFill="1" applyAlignment="1" applyProtection="1">
      <alignment/>
      <protection/>
    </xf>
    <xf numFmtId="0" fontId="5" fillId="0" borderId="17" xfId="0" applyFont="1" applyFill="1" applyBorder="1" applyAlignment="1" applyProtection="1">
      <alignment horizontal="center" vertical="center" wrapText="1"/>
      <protection/>
    </xf>
    <xf numFmtId="0" fontId="5" fillId="0" borderId="27"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0" fontId="0" fillId="0" borderId="0" xfId="0" applyFont="1" applyFill="1" applyAlignment="1" applyProtection="1">
      <alignment/>
      <protection/>
    </xf>
    <xf numFmtId="0" fontId="6" fillId="4" borderId="0" xfId="0" applyFont="1" applyFill="1" applyAlignment="1" applyProtection="1">
      <alignment/>
      <protection/>
    </xf>
    <xf numFmtId="0" fontId="0" fillId="5" borderId="0" xfId="0" applyFill="1" applyBorder="1" applyAlignment="1" applyProtection="1">
      <alignment/>
      <protection/>
    </xf>
    <xf numFmtId="0" fontId="13" fillId="5" borderId="0" xfId="0" applyFont="1" applyFill="1" applyBorder="1" applyAlignment="1" applyProtection="1">
      <alignment/>
      <protection/>
    </xf>
    <xf numFmtId="0" fontId="0" fillId="5" borderId="0" xfId="0" applyFill="1" applyBorder="1" applyAlignment="1" applyProtection="1">
      <alignment horizontal="right"/>
      <protection/>
    </xf>
    <xf numFmtId="0" fontId="4" fillId="5" borderId="0" xfId="0" applyFont="1" applyFill="1" applyBorder="1" applyAlignment="1" applyProtection="1">
      <alignment vertical="center"/>
      <protection/>
    </xf>
    <xf numFmtId="0" fontId="0" fillId="5" borderId="0" xfId="0" applyFill="1" applyBorder="1" applyAlignment="1" applyProtection="1">
      <alignment/>
      <protection/>
    </xf>
    <xf numFmtId="1" fontId="0" fillId="5" borderId="0" xfId="0" applyNumberFormat="1" applyFont="1" applyFill="1" applyBorder="1" applyAlignment="1" applyProtection="1">
      <alignment horizontal="center" vertical="center"/>
      <protection/>
    </xf>
    <xf numFmtId="0" fontId="0" fillId="6" borderId="0" xfId="0" applyFill="1" applyAlignment="1" applyProtection="1">
      <alignment/>
      <protection/>
    </xf>
    <xf numFmtId="0" fontId="13" fillId="6" borderId="0" xfId="0" applyFont="1" applyFill="1" applyAlignment="1" applyProtection="1">
      <alignment/>
      <protection/>
    </xf>
    <xf numFmtId="0" fontId="0" fillId="6" borderId="0" xfId="0" applyFont="1" applyFill="1" applyAlignment="1" applyProtection="1">
      <alignment horizontal="left"/>
      <protection/>
    </xf>
    <xf numFmtId="0" fontId="0" fillId="6" borderId="0" xfId="0" applyFill="1" applyAlignment="1" applyProtection="1">
      <alignment/>
      <protection/>
    </xf>
    <xf numFmtId="0" fontId="0" fillId="6" borderId="0" xfId="0" applyFill="1" applyAlignment="1" applyProtection="1">
      <alignment vertical="center"/>
      <protection/>
    </xf>
    <xf numFmtId="1" fontId="2" fillId="0" borderId="50" xfId="0" applyNumberFormat="1" applyFont="1" applyFill="1" applyBorder="1" applyAlignment="1" applyProtection="1">
      <alignment horizontal="center" vertical="center"/>
      <protection/>
    </xf>
    <xf numFmtId="1" fontId="2" fillId="0" borderId="51" xfId="0" applyNumberFormat="1" applyFont="1" applyFill="1" applyBorder="1" applyAlignment="1" applyProtection="1">
      <alignment horizontal="center" vertical="center"/>
      <protection/>
    </xf>
    <xf numFmtId="1" fontId="2" fillId="0" borderId="52" xfId="0" applyNumberFormat="1" applyFont="1" applyFill="1" applyBorder="1" applyAlignment="1" applyProtection="1">
      <alignment horizontal="center" vertical="center"/>
      <protection/>
    </xf>
    <xf numFmtId="0" fontId="0" fillId="3" borderId="48" xfId="0" applyFill="1" applyBorder="1" applyAlignment="1" applyProtection="1">
      <alignment horizontal="center" vertical="center"/>
      <protection/>
    </xf>
    <xf numFmtId="2" fontId="2" fillId="3" borderId="48" xfId="0" applyNumberFormat="1" applyFont="1" applyFill="1" applyBorder="1" applyAlignment="1" applyProtection="1">
      <alignment horizontal="center" vertical="center"/>
      <protection/>
    </xf>
    <xf numFmtId="199" fontId="2" fillId="3" borderId="48" xfId="0" applyNumberFormat="1" applyFont="1" applyFill="1" applyBorder="1" applyAlignment="1" applyProtection="1">
      <alignment horizontal="center" vertical="center"/>
      <protection/>
    </xf>
    <xf numFmtId="9" fontId="0" fillId="6" borderId="0" xfId="0" applyNumberFormat="1" applyFill="1" applyAlignment="1" applyProtection="1">
      <alignment/>
      <protection/>
    </xf>
    <xf numFmtId="0" fontId="0" fillId="3" borderId="5" xfId="0" applyFill="1" applyBorder="1" applyAlignment="1" applyProtection="1">
      <alignment horizontal="center" vertical="center"/>
      <protection/>
    </xf>
    <xf numFmtId="2" fontId="2" fillId="3" borderId="5" xfId="0" applyNumberFormat="1" applyFont="1" applyFill="1" applyBorder="1" applyAlignment="1" applyProtection="1">
      <alignment horizontal="center" vertical="center"/>
      <protection/>
    </xf>
    <xf numFmtId="199" fontId="2" fillId="3" borderId="5" xfId="0" applyNumberFormat="1" applyFont="1" applyFill="1" applyBorder="1" applyAlignment="1" applyProtection="1">
      <alignment horizontal="center" vertical="center"/>
      <protection/>
    </xf>
    <xf numFmtId="0" fontId="0" fillId="3" borderId="2" xfId="0" applyFill="1" applyBorder="1" applyAlignment="1" applyProtection="1">
      <alignment/>
      <protection/>
    </xf>
    <xf numFmtId="0" fontId="0" fillId="3" borderId="0" xfId="0" applyFill="1" applyBorder="1" applyAlignment="1" applyProtection="1">
      <alignment/>
      <protection/>
    </xf>
    <xf numFmtId="0" fontId="0" fillId="3" borderId="7" xfId="0" applyFill="1" applyBorder="1" applyAlignment="1" applyProtection="1">
      <alignment/>
      <protection/>
    </xf>
    <xf numFmtId="0" fontId="17" fillId="4" borderId="0" xfId="0" applyFont="1" applyFill="1" applyAlignment="1" applyProtection="1">
      <alignment horizontal="right"/>
      <protection/>
    </xf>
    <xf numFmtId="0" fontId="0" fillId="0" borderId="0" xfId="0" applyNumberFormat="1" applyAlignment="1">
      <alignment/>
    </xf>
    <xf numFmtId="0" fontId="24" fillId="4" borderId="0" xfId="0" applyFont="1" applyFill="1" applyAlignment="1" applyProtection="1">
      <alignment/>
      <protection/>
    </xf>
    <xf numFmtId="0" fontId="6" fillId="0" borderId="0" xfId="0" applyFont="1" applyFill="1"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vertical="center"/>
      <protection/>
    </xf>
    <xf numFmtId="0" fontId="0" fillId="0" borderId="0" xfId="0" applyAlignment="1">
      <alignment horizontal="center" vertical="center"/>
    </xf>
    <xf numFmtId="0" fontId="0" fillId="3" borderId="0" xfId="0" applyFont="1" applyFill="1" applyAlignment="1">
      <alignment/>
    </xf>
    <xf numFmtId="0" fontId="25" fillId="3" borderId="0" xfId="0" applyFont="1" applyFill="1" applyAlignment="1">
      <alignment/>
    </xf>
    <xf numFmtId="0" fontId="0" fillId="0" borderId="0" xfId="0" applyFont="1" applyAlignment="1">
      <alignment/>
    </xf>
    <xf numFmtId="0" fontId="0" fillId="0" borderId="0" xfId="0" applyFont="1" applyAlignment="1">
      <alignment horizontal="right"/>
    </xf>
    <xf numFmtId="0" fontId="0" fillId="0" borderId="0" xfId="0" applyFont="1" applyAlignment="1" applyProtection="1">
      <alignment/>
      <protection locked="0"/>
    </xf>
    <xf numFmtId="0" fontId="26" fillId="0" borderId="0" xfId="0" applyNumberFormat="1" applyFont="1" applyAlignment="1">
      <alignment horizontal="center"/>
    </xf>
    <xf numFmtId="0" fontId="0" fillId="0" borderId="0" xfId="0" applyNumberFormat="1" applyFont="1" applyAlignment="1">
      <alignment horizontal="center"/>
    </xf>
    <xf numFmtId="18" fontId="0" fillId="3" borderId="0" xfId="0" applyNumberFormat="1" applyFill="1" applyAlignment="1" applyProtection="1">
      <alignment/>
      <protection locked="0"/>
    </xf>
    <xf numFmtId="0" fontId="0" fillId="3" borderId="0" xfId="0" applyFill="1" applyAlignment="1" applyProtection="1">
      <alignment/>
      <protection locked="0"/>
    </xf>
    <xf numFmtId="3" fontId="6" fillId="0" borderId="15" xfId="0" applyNumberFormat="1" applyFont="1" applyFill="1" applyBorder="1" applyAlignment="1" applyProtection="1">
      <alignment horizontal="center" vertical="center"/>
      <protection locked="0"/>
    </xf>
    <xf numFmtId="3" fontId="6" fillId="0" borderId="16" xfId="0" applyNumberFormat="1" applyFont="1" applyFill="1" applyBorder="1" applyAlignment="1" applyProtection="1">
      <alignment horizontal="center" vertical="center"/>
      <protection locked="0"/>
    </xf>
    <xf numFmtId="3" fontId="6" fillId="0" borderId="45" xfId="0" applyNumberFormat="1" applyFont="1" applyFill="1" applyBorder="1" applyAlignment="1" applyProtection="1">
      <alignment horizontal="center" vertical="center"/>
      <protection/>
    </xf>
    <xf numFmtId="3" fontId="6" fillId="0" borderId="46" xfId="0" applyNumberFormat="1" applyFont="1" applyFill="1" applyBorder="1" applyAlignment="1" applyProtection="1">
      <alignment horizontal="center" vertical="center"/>
      <protection locked="0"/>
    </xf>
    <xf numFmtId="3" fontId="6" fillId="0" borderId="9" xfId="0" applyNumberFormat="1" applyFont="1" applyFill="1" applyBorder="1" applyAlignment="1" applyProtection="1">
      <alignment horizontal="center" vertical="center"/>
      <protection locked="0"/>
    </xf>
    <xf numFmtId="3" fontId="6" fillId="0" borderId="10" xfId="0" applyNumberFormat="1" applyFont="1" applyFill="1" applyBorder="1" applyAlignment="1" applyProtection="1">
      <alignment horizontal="center" vertical="center"/>
      <protection locked="0"/>
    </xf>
    <xf numFmtId="3" fontId="6" fillId="0" borderId="46" xfId="0" applyNumberFormat="1" applyFont="1" applyFill="1" applyBorder="1" applyAlignment="1" applyProtection="1">
      <alignment horizontal="center" vertical="center"/>
      <protection/>
    </xf>
    <xf numFmtId="3" fontId="6" fillId="0" borderId="34" xfId="0" applyNumberFormat="1" applyFont="1" applyFill="1" applyBorder="1" applyAlignment="1" applyProtection="1">
      <alignment horizontal="center" vertical="center"/>
      <protection locked="0"/>
    </xf>
    <xf numFmtId="3" fontId="6" fillId="0" borderId="53" xfId="0" applyNumberFormat="1" applyFont="1" applyFill="1" applyBorder="1" applyAlignment="1" applyProtection="1">
      <alignment horizontal="center" vertical="center"/>
      <protection locked="0"/>
    </xf>
    <xf numFmtId="3" fontId="6" fillId="0" borderId="54" xfId="0" applyNumberFormat="1" applyFont="1" applyFill="1" applyBorder="1" applyAlignment="1" applyProtection="1">
      <alignment horizontal="center" vertical="center"/>
      <protection locked="0"/>
    </xf>
    <xf numFmtId="3" fontId="6" fillId="0" borderId="55" xfId="0" applyNumberFormat="1" applyFont="1" applyFill="1" applyBorder="1" applyAlignment="1" applyProtection="1">
      <alignment horizontal="center" vertical="center"/>
      <protection locked="0"/>
    </xf>
    <xf numFmtId="3" fontId="5" fillId="0" borderId="12" xfId="0" applyNumberFormat="1" applyFont="1" applyFill="1" applyBorder="1" applyAlignment="1" applyProtection="1">
      <alignment horizontal="center"/>
      <protection/>
    </xf>
    <xf numFmtId="3" fontId="5" fillId="0" borderId="33" xfId="0" applyNumberFormat="1" applyFont="1" applyFill="1" applyBorder="1" applyAlignment="1" applyProtection="1">
      <alignment horizontal="center"/>
      <protection/>
    </xf>
    <xf numFmtId="3" fontId="5" fillId="0" borderId="13" xfId="0" applyNumberFormat="1" applyFont="1" applyFill="1" applyBorder="1" applyAlignment="1" applyProtection="1">
      <alignment horizontal="center"/>
      <protection/>
    </xf>
    <xf numFmtId="3" fontId="5" fillId="0" borderId="46" xfId="0" applyNumberFormat="1" applyFont="1" applyFill="1" applyBorder="1" applyAlignment="1" applyProtection="1">
      <alignment horizontal="center"/>
      <protection/>
    </xf>
    <xf numFmtId="3" fontId="0" fillId="0" borderId="0" xfId="0" applyNumberFormat="1" applyFont="1" applyAlignment="1">
      <alignment/>
    </xf>
    <xf numFmtId="0" fontId="18" fillId="0" borderId="17" xfId="0" applyFont="1" applyFill="1" applyBorder="1" applyAlignment="1">
      <alignment horizontal="center" vertical="center"/>
    </xf>
    <xf numFmtId="3" fontId="2" fillId="0" borderId="15" xfId="0" applyNumberFormat="1" applyFont="1" applyBorder="1" applyAlignment="1">
      <alignment horizontal="center" vertical="center" wrapText="1"/>
    </xf>
    <xf numFmtId="3" fontId="2" fillId="0" borderId="18" xfId="0" applyNumberFormat="1" applyFont="1" applyBorder="1" applyAlignment="1">
      <alignment horizontal="center" vertical="center" wrapText="1"/>
    </xf>
    <xf numFmtId="3" fontId="2" fillId="0" borderId="16" xfId="0" applyNumberFormat="1" applyFont="1" applyBorder="1" applyAlignment="1">
      <alignment horizontal="center" vertical="center" wrapText="1"/>
    </xf>
    <xf numFmtId="3" fontId="2" fillId="3" borderId="0" xfId="0" applyNumberFormat="1" applyFont="1" applyFill="1" applyBorder="1" applyAlignment="1">
      <alignment vertical="center" wrapText="1"/>
    </xf>
    <xf numFmtId="3" fontId="2" fillId="3" borderId="5" xfId="0" applyNumberFormat="1" applyFont="1" applyFill="1" applyBorder="1" applyAlignment="1">
      <alignment vertical="center" wrapText="1"/>
    </xf>
    <xf numFmtId="3" fontId="2" fillId="3" borderId="2" xfId="0" applyNumberFormat="1" applyFont="1" applyFill="1" applyBorder="1" applyAlignment="1">
      <alignment vertical="center" wrapText="1"/>
    </xf>
    <xf numFmtId="3" fontId="2" fillId="3" borderId="3" xfId="0" applyNumberFormat="1" applyFont="1" applyFill="1" applyBorder="1" applyAlignment="1">
      <alignment vertical="center" wrapText="1"/>
    </xf>
    <xf numFmtId="3" fontId="2" fillId="0" borderId="19" xfId="0" applyNumberFormat="1" applyFont="1" applyBorder="1" applyAlignment="1">
      <alignment horizontal="center" vertical="center" wrapText="1"/>
    </xf>
    <xf numFmtId="3" fontId="2" fillId="3" borderId="6" xfId="0" applyNumberFormat="1" applyFont="1" applyFill="1" applyBorder="1" applyAlignment="1">
      <alignment horizontal="center" vertical="center" wrapText="1"/>
    </xf>
    <xf numFmtId="3" fontId="2" fillId="3" borderId="8" xfId="0" applyNumberFormat="1" applyFont="1" applyFill="1" applyBorder="1" applyAlignment="1">
      <alignment horizontal="center" vertical="center" wrapText="1"/>
    </xf>
    <xf numFmtId="3" fontId="2" fillId="3" borderId="49" xfId="0" applyNumberFormat="1" applyFont="1" applyFill="1" applyBorder="1" applyAlignment="1">
      <alignment vertical="center" wrapText="1"/>
    </xf>
    <xf numFmtId="3" fontId="2" fillId="3" borderId="38" xfId="0" applyNumberFormat="1" applyFont="1" applyFill="1" applyBorder="1" applyAlignment="1">
      <alignment vertical="center" wrapText="1"/>
    </xf>
    <xf numFmtId="3" fontId="6" fillId="0" borderId="15" xfId="0" applyNumberFormat="1" applyFont="1" applyFill="1" applyBorder="1" applyAlignment="1" applyProtection="1">
      <alignment horizontal="center" vertical="center"/>
      <protection/>
    </xf>
    <xf numFmtId="3" fontId="6" fillId="0" borderId="16" xfId="0" applyNumberFormat="1"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wrapText="1"/>
      <protection/>
    </xf>
    <xf numFmtId="0" fontId="5" fillId="0" borderId="56" xfId="0" applyFont="1" applyFill="1" applyBorder="1" applyAlignment="1" applyProtection="1">
      <alignment horizontal="center" vertical="center" wrapText="1"/>
      <protection/>
    </xf>
    <xf numFmtId="0" fontId="0" fillId="5" borderId="0" xfId="0" applyFill="1" applyBorder="1" applyAlignment="1" applyProtection="1">
      <alignment wrapText="1"/>
      <protection/>
    </xf>
    <xf numFmtId="0" fontId="5" fillId="0" borderId="57" xfId="0" applyFont="1" applyFill="1" applyBorder="1" applyAlignment="1" applyProtection="1">
      <alignment horizontal="center" vertical="center" wrapText="1"/>
      <protection/>
    </xf>
    <xf numFmtId="20" fontId="6" fillId="0" borderId="58" xfId="0" applyNumberFormat="1" applyFont="1" applyFill="1" applyBorder="1" applyAlignment="1" applyProtection="1">
      <alignment horizontal="center" vertical="center"/>
      <protection locked="0"/>
    </xf>
    <xf numFmtId="20" fontId="6" fillId="0" borderId="59" xfId="0" applyNumberFormat="1"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xf>
    <xf numFmtId="2" fontId="6" fillId="0" borderId="57" xfId="0" applyNumberFormat="1" applyFont="1" applyFill="1" applyBorder="1" applyAlignment="1" applyProtection="1" quotePrefix="1">
      <alignment horizontal="center" vertical="center"/>
      <protection/>
    </xf>
    <xf numFmtId="2" fontId="6" fillId="0" borderId="56" xfId="0" applyNumberFormat="1" applyFont="1" applyFill="1" applyBorder="1" applyAlignment="1" applyProtection="1">
      <alignment horizontal="center" vertical="center"/>
      <protection/>
    </xf>
    <xf numFmtId="0" fontId="6" fillId="0" borderId="58" xfId="0" applyNumberFormat="1" applyFont="1" applyFill="1" applyBorder="1" applyAlignment="1" applyProtection="1" quotePrefix="1">
      <alignment horizontal="center" vertical="center"/>
      <protection/>
    </xf>
    <xf numFmtId="0" fontId="6" fillId="0" borderId="59" xfId="0" applyNumberFormat="1" applyFont="1" applyFill="1" applyBorder="1" applyAlignment="1" applyProtection="1">
      <alignment horizontal="center" vertical="center"/>
      <protection/>
    </xf>
    <xf numFmtId="0" fontId="5" fillId="0" borderId="39" xfId="0" applyFont="1" applyFill="1" applyBorder="1" applyAlignment="1" applyProtection="1">
      <alignment horizontal="center"/>
      <protection/>
    </xf>
    <xf numFmtId="0" fontId="5" fillId="0" borderId="32" xfId="0" applyFont="1" applyFill="1" applyBorder="1" applyAlignment="1" applyProtection="1">
      <alignment horizontal="center"/>
      <protection/>
    </xf>
    <xf numFmtId="0" fontId="6" fillId="0" borderId="54" xfId="0" applyFont="1" applyFill="1" applyBorder="1" applyAlignment="1" applyProtection="1">
      <alignment horizontal="center" vertical="center"/>
      <protection locked="0"/>
    </xf>
    <xf numFmtId="0" fontId="6" fillId="0" borderId="60" xfId="0" applyFont="1" applyFill="1" applyBorder="1" applyAlignment="1" applyProtection="1">
      <alignment horizontal="center" vertical="center"/>
      <protection locked="0"/>
    </xf>
    <xf numFmtId="0" fontId="6" fillId="0" borderId="56" xfId="0" applyFont="1" applyFill="1" applyBorder="1" applyAlignment="1" applyProtection="1">
      <alignment horizontal="center" vertical="center"/>
      <protection locked="0"/>
    </xf>
    <xf numFmtId="0" fontId="6" fillId="0" borderId="57" xfId="0" applyFont="1" applyFill="1" applyBorder="1" applyAlignment="1" applyProtection="1">
      <alignment horizontal="center" vertical="center"/>
      <protection locked="0"/>
    </xf>
    <xf numFmtId="0" fontId="6" fillId="0" borderId="61" xfId="0" applyNumberFormat="1" applyFont="1" applyFill="1" applyBorder="1" applyAlignment="1" applyProtection="1" quotePrefix="1">
      <alignment horizontal="center" vertical="center"/>
      <protection/>
    </xf>
    <xf numFmtId="0" fontId="6" fillId="0" borderId="62" xfId="0" applyNumberFormat="1" applyFont="1" applyFill="1" applyBorder="1" applyAlignment="1" applyProtection="1">
      <alignment horizontal="center" vertical="center"/>
      <protection/>
    </xf>
    <xf numFmtId="0" fontId="5" fillId="0" borderId="49" xfId="0" applyFont="1" applyFill="1" applyBorder="1" applyAlignment="1" applyProtection="1">
      <alignment horizontal="center" vertical="center" wrapText="1"/>
      <protection/>
    </xf>
    <xf numFmtId="0" fontId="5" fillId="0" borderId="38" xfId="0" applyFont="1" applyFill="1" applyBorder="1" applyAlignment="1" applyProtection="1">
      <alignment horizontal="center" vertical="center" wrapText="1"/>
      <protection/>
    </xf>
    <xf numFmtId="0" fontId="1" fillId="0" borderId="63" xfId="0" applyFont="1" applyFill="1" applyBorder="1" applyAlignment="1" applyProtection="1">
      <alignment horizontal="center" vertical="center" wrapText="1"/>
      <protection/>
    </xf>
    <xf numFmtId="0" fontId="1" fillId="0" borderId="64" xfId="0" applyFont="1" applyFill="1" applyBorder="1" applyAlignment="1" applyProtection="1">
      <alignment horizontal="center" vertical="center" wrapText="1"/>
      <protection/>
    </xf>
    <xf numFmtId="0" fontId="5" fillId="0" borderId="50" xfId="0" applyFont="1" applyFill="1" applyBorder="1" applyAlignment="1" applyProtection="1">
      <alignment horizontal="center" vertical="center" wrapText="1"/>
      <protection/>
    </xf>
    <xf numFmtId="0" fontId="5" fillId="0" borderId="52" xfId="0" applyFont="1" applyFill="1" applyBorder="1" applyAlignment="1" applyProtection="1">
      <alignment horizontal="center" vertical="center" wrapText="1"/>
      <protection/>
    </xf>
    <xf numFmtId="20" fontId="6" fillId="0" borderId="57" xfId="0" applyNumberFormat="1" applyFont="1" applyFill="1" applyBorder="1" applyAlignment="1" applyProtection="1">
      <alignment horizontal="center" vertical="center"/>
      <protection locked="0"/>
    </xf>
    <xf numFmtId="20" fontId="6" fillId="0" borderId="56" xfId="0" applyNumberFormat="1"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wrapText="1"/>
      <protection/>
    </xf>
    <xf numFmtId="20" fontId="6" fillId="0" borderId="61" xfId="0" applyNumberFormat="1" applyFont="1" applyFill="1" applyBorder="1" applyAlignment="1" applyProtection="1">
      <alignment horizontal="center" vertical="center"/>
      <protection locked="0"/>
    </xf>
    <xf numFmtId="20" fontId="6" fillId="0" borderId="62" xfId="0" applyNumberFormat="1"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1" fontId="6" fillId="5" borderId="0" xfId="0" applyNumberFormat="1" applyFont="1" applyFill="1" applyBorder="1" applyAlignment="1" applyProtection="1">
      <alignment horizontal="center" vertical="center"/>
      <protection/>
    </xf>
    <xf numFmtId="0" fontId="5" fillId="5" borderId="0" xfId="0" applyFont="1"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5" fillId="5" borderId="0" xfId="0" applyFont="1" applyFill="1" applyBorder="1" applyAlignment="1" applyProtection="1">
      <alignment horizontal="center" vertical="center" wrapText="1"/>
      <protection/>
    </xf>
    <xf numFmtId="9" fontId="6" fillId="0" borderId="17" xfId="19" applyFont="1" applyFill="1" applyBorder="1" applyAlignment="1" applyProtection="1">
      <alignment horizontal="center" vertical="center"/>
      <protection locked="0"/>
    </xf>
    <xf numFmtId="9" fontId="6" fillId="0" borderId="14" xfId="19" applyFont="1" applyFill="1" applyBorder="1" applyAlignment="1" applyProtection="1">
      <alignment horizontal="center" vertical="center"/>
      <protection locked="0"/>
    </xf>
    <xf numFmtId="0" fontId="5" fillId="0" borderId="63" xfId="0" applyFont="1" applyFill="1" applyBorder="1" applyAlignment="1" applyProtection="1">
      <alignment horizontal="center" vertical="center"/>
      <protection/>
    </xf>
    <xf numFmtId="0" fontId="5" fillId="0" borderId="65" xfId="0" applyFont="1" applyFill="1" applyBorder="1" applyAlignment="1" applyProtection="1">
      <alignment horizontal="center" vertical="center"/>
      <protection/>
    </xf>
    <xf numFmtId="3" fontId="6" fillId="0" borderId="9" xfId="0" applyNumberFormat="1" applyFont="1" applyFill="1" applyBorder="1" applyAlignment="1" applyProtection="1">
      <alignment horizontal="center" vertical="center"/>
      <protection/>
    </xf>
    <xf numFmtId="3" fontId="6" fillId="0" borderId="10" xfId="0" applyNumberFormat="1" applyFont="1" applyFill="1" applyBorder="1" applyAlignment="1" applyProtection="1">
      <alignment horizontal="center" vertical="center"/>
      <protection/>
    </xf>
    <xf numFmtId="1" fontId="5" fillId="0" borderId="15" xfId="0" applyNumberFormat="1" applyFont="1" applyFill="1" applyBorder="1" applyAlignment="1" applyProtection="1">
      <alignment horizontal="center" vertical="center"/>
      <protection/>
    </xf>
    <xf numFmtId="1" fontId="5" fillId="0" borderId="16" xfId="0" applyNumberFormat="1" applyFont="1" applyFill="1" applyBorder="1" applyAlignment="1" applyProtection="1">
      <alignment horizontal="center" vertical="center"/>
      <protection/>
    </xf>
    <xf numFmtId="0" fontId="5" fillId="0" borderId="58" xfId="0" applyFont="1" applyFill="1" applyBorder="1" applyAlignment="1" applyProtection="1">
      <alignment horizontal="left" vertical="center" wrapText="1"/>
      <protection/>
    </xf>
    <xf numFmtId="0" fontId="5" fillId="0" borderId="66" xfId="0" applyFont="1" applyFill="1" applyBorder="1" applyAlignment="1" applyProtection="1">
      <alignment horizontal="left" vertical="center" wrapText="1"/>
      <protection/>
    </xf>
    <xf numFmtId="0" fontId="5" fillId="0" borderId="61" xfId="0" applyFont="1" applyFill="1" applyBorder="1" applyAlignment="1" applyProtection="1">
      <alignment horizontal="left" vertical="center" wrapText="1"/>
      <protection/>
    </xf>
    <xf numFmtId="0" fontId="5" fillId="0" borderId="67" xfId="0" applyFont="1" applyFill="1" applyBorder="1" applyAlignment="1" applyProtection="1">
      <alignment horizontal="left" vertical="center" wrapText="1"/>
      <protection/>
    </xf>
    <xf numFmtId="0" fontId="5" fillId="0" borderId="46" xfId="0" applyFont="1" applyFill="1" applyBorder="1" applyAlignment="1" applyProtection="1">
      <alignment horizontal="left" vertical="center"/>
      <protection/>
    </xf>
    <xf numFmtId="0" fontId="5" fillId="0" borderId="45" xfId="0" applyFont="1" applyFill="1" applyBorder="1" applyAlignment="1" applyProtection="1">
      <alignment horizontal="left" vertical="center"/>
      <protection/>
    </xf>
    <xf numFmtId="0" fontId="5" fillId="0" borderId="6" xfId="0" applyFont="1" applyFill="1" applyBorder="1" applyAlignment="1" applyProtection="1">
      <alignment horizontal="left" vertical="center"/>
      <protection/>
    </xf>
    <xf numFmtId="0" fontId="5" fillId="0" borderId="49" xfId="0" applyFont="1" applyFill="1" applyBorder="1" applyAlignment="1" applyProtection="1">
      <alignment horizontal="left" vertical="center"/>
      <protection/>
    </xf>
    <xf numFmtId="9" fontId="6" fillId="0" borderId="17" xfId="19" applyFont="1" applyFill="1" applyBorder="1" applyAlignment="1" applyProtection="1">
      <alignment horizontal="center" vertical="center"/>
      <protection/>
    </xf>
    <xf numFmtId="9" fontId="6" fillId="0" borderId="14" xfId="19" applyFont="1" applyFill="1" applyBorder="1" applyAlignment="1" applyProtection="1">
      <alignment horizontal="center" vertical="center"/>
      <protection/>
    </xf>
    <xf numFmtId="0" fontId="5" fillId="0" borderId="57" xfId="0" applyFont="1" applyFill="1" applyBorder="1" applyAlignment="1" applyProtection="1">
      <alignment horizontal="left" vertical="center"/>
      <protection/>
    </xf>
    <xf numFmtId="0" fontId="5" fillId="0" borderId="20" xfId="0" applyFont="1" applyFill="1" applyBorder="1" applyAlignment="1" applyProtection="1">
      <alignment horizontal="left" vertical="center"/>
      <protection/>
    </xf>
    <xf numFmtId="0" fontId="5" fillId="0" borderId="56" xfId="0" applyFont="1" applyFill="1" applyBorder="1" applyAlignment="1" applyProtection="1">
      <alignment horizontal="left" vertical="center"/>
      <protection/>
    </xf>
    <xf numFmtId="0" fontId="5" fillId="0" borderId="58" xfId="0" applyFont="1" applyFill="1" applyBorder="1" applyAlignment="1" applyProtection="1">
      <alignment horizontal="left" vertical="center"/>
      <protection/>
    </xf>
    <xf numFmtId="0" fontId="5" fillId="0" borderId="66" xfId="0" applyFont="1" applyFill="1" applyBorder="1" applyAlignment="1" applyProtection="1">
      <alignment horizontal="left" vertical="center"/>
      <protection/>
    </xf>
    <xf numFmtId="0" fontId="5" fillId="0" borderId="59" xfId="0" applyFont="1" applyFill="1" applyBorder="1" applyAlignment="1" applyProtection="1">
      <alignment horizontal="left" vertical="center"/>
      <protection/>
    </xf>
    <xf numFmtId="0" fontId="5" fillId="0" borderId="61" xfId="0" applyFont="1" applyFill="1" applyBorder="1" applyAlignment="1" applyProtection="1">
      <alignment horizontal="left" vertical="center"/>
      <protection/>
    </xf>
    <xf numFmtId="0" fontId="5" fillId="0" borderId="67" xfId="0" applyFont="1" applyFill="1" applyBorder="1" applyAlignment="1" applyProtection="1">
      <alignment horizontal="left" vertical="center"/>
      <protection/>
    </xf>
    <xf numFmtId="0" fontId="5" fillId="0" borderId="62" xfId="0" applyFont="1" applyFill="1" applyBorder="1" applyAlignment="1" applyProtection="1">
      <alignment horizontal="left" vertical="center"/>
      <protection/>
    </xf>
    <xf numFmtId="0" fontId="0" fillId="6" borderId="0" xfId="0" applyFont="1" applyFill="1" applyBorder="1" applyAlignment="1" applyProtection="1">
      <alignment horizontal="center" vertical="center"/>
      <protection/>
    </xf>
    <xf numFmtId="0" fontId="0" fillId="6" borderId="0" xfId="0" applyFill="1" applyAlignment="1" applyProtection="1">
      <alignment vertical="top" wrapText="1"/>
      <protection/>
    </xf>
    <xf numFmtId="0" fontId="0" fillId="0" borderId="0" xfId="0" applyAlignment="1" applyProtection="1">
      <alignment vertical="top" wrapText="1"/>
      <protection/>
    </xf>
    <xf numFmtId="0" fontId="1" fillId="4" borderId="0" xfId="0" applyFont="1" applyFill="1" applyAlignment="1" applyProtection="1">
      <alignment horizontal="right"/>
      <protection/>
    </xf>
    <xf numFmtId="3" fontId="2" fillId="0" borderId="46" xfId="0" applyNumberFormat="1"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3" fontId="2" fillId="0" borderId="45"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4" xfId="0" applyNumberFormat="1" applyFont="1" applyBorder="1" applyAlignment="1">
      <alignment horizontal="center" vertical="center" wrapText="1"/>
    </xf>
    <xf numFmtId="3" fontId="2" fillId="0" borderId="9" xfId="0" applyNumberFormat="1" applyFont="1" applyBorder="1" applyAlignment="1">
      <alignment horizontal="center" vertical="center" wrapText="1"/>
    </xf>
    <xf numFmtId="3" fontId="2" fillId="0" borderId="17" xfId="0" applyNumberFormat="1" applyFont="1" applyBorder="1" applyAlignment="1">
      <alignment horizontal="center" vertical="center" wrapText="1"/>
    </xf>
    <xf numFmtId="3" fontId="2" fillId="0" borderId="11" xfId="0" applyNumberFormat="1" applyFont="1" applyBorder="1" applyAlignment="1">
      <alignment horizontal="center" vertical="center" wrapText="1"/>
    </xf>
    <xf numFmtId="3" fontId="2" fillId="0" borderId="27" xfId="0" applyNumberFormat="1" applyFont="1" applyBorder="1" applyAlignment="1">
      <alignment horizontal="center" vertical="center" wrapText="1"/>
    </xf>
    <xf numFmtId="0" fontId="1" fillId="0" borderId="49"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49" xfId="0" applyFont="1" applyBorder="1" applyAlignment="1">
      <alignment horizontal="center" vertical="center" wrapText="1"/>
    </xf>
    <xf numFmtId="0" fontId="1" fillId="0" borderId="38" xfId="0" applyFont="1" applyBorder="1" applyAlignment="1">
      <alignment horizontal="center" vertical="center" wrapText="1"/>
    </xf>
    <xf numFmtId="0" fontId="6" fillId="0" borderId="57"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67" xfId="0" applyFont="1" applyFill="1" applyBorder="1" applyAlignment="1">
      <alignment horizontal="center" vertical="center"/>
    </xf>
    <xf numFmtId="0" fontId="6" fillId="0" borderId="62" xfId="0" applyFont="1" applyFill="1" applyBorder="1" applyAlignment="1">
      <alignment horizontal="center" vertical="center"/>
    </xf>
    <xf numFmtId="0" fontId="4" fillId="4" borderId="0" xfId="0" applyFont="1" applyFill="1" applyAlignment="1">
      <alignment horizontal="left"/>
    </xf>
    <xf numFmtId="0" fontId="1" fillId="0" borderId="47" xfId="0" applyFont="1" applyBorder="1" applyAlignment="1">
      <alignment horizontal="center" vertical="center"/>
    </xf>
    <xf numFmtId="0" fontId="1" fillId="0" borderId="45" xfId="0" applyFont="1" applyBorder="1" applyAlignment="1">
      <alignment horizontal="center" vertical="center"/>
    </xf>
    <xf numFmtId="20" fontId="2" fillId="0" borderId="46" xfId="0" applyNumberFormat="1" applyFont="1" applyBorder="1" applyAlignment="1">
      <alignment horizontal="center" vertical="center" wrapText="1"/>
    </xf>
    <xf numFmtId="20" fontId="2" fillId="0" borderId="47"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5" borderId="0" xfId="0" applyFont="1" applyFill="1" applyBorder="1" applyAlignment="1">
      <alignment horizontal="left" vertical="center" wrapText="1"/>
    </xf>
    <xf numFmtId="0" fontId="1" fillId="5" borderId="0" xfId="0" applyFont="1" applyFill="1" applyBorder="1" applyAlignment="1">
      <alignment horizontal="left" vertical="center"/>
    </xf>
    <xf numFmtId="20" fontId="2" fillId="0" borderId="49" xfId="0" applyNumberFormat="1" applyFont="1" applyBorder="1" applyAlignment="1">
      <alignment horizontal="center" vertical="center" wrapText="1"/>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3" fontId="6" fillId="0" borderId="9" xfId="0" applyNumberFormat="1" applyFont="1" applyBorder="1" applyAlignment="1">
      <alignment horizontal="center" vertical="center"/>
    </xf>
    <xf numFmtId="3" fontId="6" fillId="0" borderId="10" xfId="0" applyNumberFormat="1" applyFont="1" applyBorder="1" applyAlignment="1">
      <alignment horizontal="center" vertical="center"/>
    </xf>
    <xf numFmtId="20" fontId="2" fillId="0" borderId="48" xfId="0" applyNumberFormat="1" applyFont="1" applyBorder="1" applyAlignment="1">
      <alignment horizontal="center" vertical="center" wrapText="1"/>
    </xf>
    <xf numFmtId="0" fontId="1" fillId="0" borderId="3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210" fontId="2" fillId="0" borderId="1" xfId="19" applyNumberFormat="1" applyFont="1" applyBorder="1" applyAlignment="1">
      <alignment horizontal="center" vertical="center" wrapText="1"/>
    </xf>
    <xf numFmtId="210" fontId="2" fillId="0" borderId="3" xfId="19" applyNumberFormat="1" applyFont="1" applyBorder="1" applyAlignment="1">
      <alignment horizontal="center" vertical="center" wrapText="1"/>
    </xf>
    <xf numFmtId="210" fontId="2" fillId="0" borderId="4" xfId="19" applyNumberFormat="1" applyFont="1" applyBorder="1" applyAlignment="1">
      <alignment horizontal="center" vertical="center" wrapText="1"/>
    </xf>
    <xf numFmtId="210" fontId="2" fillId="0" borderId="5" xfId="19" applyNumberFormat="1" applyFont="1" applyBorder="1" applyAlignment="1">
      <alignment horizontal="center" vertical="center" wrapText="1"/>
    </xf>
    <xf numFmtId="210" fontId="2" fillId="0" borderId="6" xfId="19" applyNumberFormat="1" applyFont="1" applyBorder="1" applyAlignment="1">
      <alignment horizontal="center" vertical="center" wrapText="1"/>
    </xf>
    <xf numFmtId="210" fontId="2" fillId="0" borderId="8" xfId="19" applyNumberFormat="1" applyFont="1" applyBorder="1" applyAlignment="1">
      <alignment horizontal="center" vertical="center" wrapText="1"/>
    </xf>
    <xf numFmtId="0" fontId="13" fillId="5" borderId="0" xfId="0" applyFont="1" applyFill="1" applyBorder="1" applyAlignment="1">
      <alignment horizontal="left"/>
    </xf>
    <xf numFmtId="0" fontId="1" fillId="0" borderId="6"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20" fontId="6" fillId="0" borderId="57" xfId="0" applyNumberFormat="1" applyFont="1" applyBorder="1" applyAlignment="1">
      <alignment horizontal="center" vertical="center"/>
    </xf>
    <xf numFmtId="0" fontId="0" fillId="0" borderId="20" xfId="0" applyBorder="1" applyAlignment="1">
      <alignment horizontal="center" vertical="center"/>
    </xf>
    <xf numFmtId="0" fontId="0" fillId="0" borderId="56" xfId="0" applyBorder="1" applyAlignment="1">
      <alignment horizontal="center" vertical="center"/>
    </xf>
    <xf numFmtId="20" fontId="6" fillId="0" borderId="58" xfId="0" applyNumberFormat="1" applyFont="1" applyBorder="1" applyAlignment="1">
      <alignment horizontal="center" vertical="center"/>
    </xf>
    <xf numFmtId="0" fontId="0" fillId="0" borderId="66" xfId="0" applyBorder="1" applyAlignment="1">
      <alignment horizontal="center" vertical="center"/>
    </xf>
    <xf numFmtId="0" fontId="0" fillId="0" borderId="59" xfId="0" applyBorder="1" applyAlignment="1">
      <alignment horizontal="center" vertical="center"/>
    </xf>
    <xf numFmtId="0" fontId="2" fillId="0" borderId="58" xfId="0" applyFont="1" applyBorder="1" applyAlignment="1">
      <alignment horizontal="center" vertical="center"/>
    </xf>
    <xf numFmtId="0" fontId="2" fillId="0" borderId="66" xfId="0" applyFont="1" applyBorder="1" applyAlignment="1">
      <alignment horizontal="center" vertical="center"/>
    </xf>
    <xf numFmtId="0" fontId="2" fillId="0" borderId="59" xfId="0" applyFont="1" applyBorder="1" applyAlignment="1">
      <alignment horizontal="center" vertical="center"/>
    </xf>
    <xf numFmtId="0" fontId="2" fillId="0" borderId="61" xfId="0" applyFont="1" applyBorder="1" applyAlignment="1">
      <alignment horizontal="center" vertical="center"/>
    </xf>
    <xf numFmtId="0" fontId="2" fillId="0" borderId="67" xfId="0" applyFont="1" applyBorder="1" applyAlignment="1">
      <alignment horizontal="center" vertical="center"/>
    </xf>
    <xf numFmtId="0" fontId="2" fillId="0" borderId="62" xfId="0" applyFont="1" applyBorder="1" applyAlignment="1">
      <alignment horizontal="center" vertical="center"/>
    </xf>
    <xf numFmtId="0" fontId="1" fillId="2" borderId="47" xfId="0" applyFont="1" applyFill="1" applyBorder="1" applyAlignment="1">
      <alignment horizontal="center" vertical="center"/>
    </xf>
    <xf numFmtId="0" fontId="1" fillId="2" borderId="45" xfId="0" applyFont="1" applyFill="1" applyBorder="1" applyAlignment="1">
      <alignment horizontal="center" vertical="center"/>
    </xf>
    <xf numFmtId="210" fontId="2" fillId="0" borderId="57" xfId="19" applyNumberFormat="1" applyFont="1" applyBorder="1" applyAlignment="1">
      <alignment horizontal="center" vertical="center"/>
    </xf>
    <xf numFmtId="210" fontId="2" fillId="0" borderId="56" xfId="19" applyNumberFormat="1" applyFont="1" applyBorder="1" applyAlignment="1">
      <alignment horizontal="center" vertical="center"/>
    </xf>
    <xf numFmtId="210" fontId="2" fillId="0" borderId="58" xfId="19" applyNumberFormat="1" applyFont="1" applyBorder="1" applyAlignment="1">
      <alignment horizontal="center" vertical="center"/>
    </xf>
    <xf numFmtId="210" fontId="2" fillId="0" borderId="59" xfId="19" applyNumberFormat="1" applyFont="1" applyBorder="1" applyAlignment="1">
      <alignment horizontal="center" vertical="center"/>
    </xf>
    <xf numFmtId="0" fontId="2" fillId="0" borderId="57" xfId="0" applyFont="1" applyBorder="1" applyAlignment="1">
      <alignment horizontal="center" vertical="center"/>
    </xf>
    <xf numFmtId="0" fontId="2" fillId="0" borderId="20" xfId="0" applyFont="1" applyBorder="1" applyAlignment="1">
      <alignment horizontal="center" vertical="center"/>
    </xf>
    <xf numFmtId="0" fontId="2" fillId="0" borderId="56" xfId="0" applyFont="1" applyBorder="1" applyAlignment="1">
      <alignment horizontal="center" vertical="center"/>
    </xf>
    <xf numFmtId="0" fontId="1" fillId="0" borderId="48" xfId="0" applyFont="1" applyBorder="1" applyAlignment="1">
      <alignment horizontal="center" vertical="center" wrapText="1"/>
    </xf>
    <xf numFmtId="0" fontId="1" fillId="0" borderId="45" xfId="0" applyFont="1" applyBorder="1" applyAlignment="1">
      <alignment horizontal="center" vertical="center" wrapText="1"/>
    </xf>
    <xf numFmtId="210" fontId="2" fillId="0" borderId="61" xfId="19" applyNumberFormat="1" applyFont="1" applyBorder="1" applyAlignment="1">
      <alignment horizontal="center" vertical="center"/>
    </xf>
    <xf numFmtId="210" fontId="2" fillId="0" borderId="62" xfId="19" applyNumberFormat="1" applyFont="1" applyBorder="1" applyAlignment="1">
      <alignment horizontal="center" vertical="center"/>
    </xf>
    <xf numFmtId="1" fontId="6" fillId="0" borderId="68" xfId="0" applyNumberFormat="1" applyFont="1" applyFill="1" applyBorder="1" applyAlignment="1">
      <alignment horizontal="center" vertical="center"/>
    </xf>
    <xf numFmtId="1" fontId="6" fillId="0" borderId="69" xfId="0" applyNumberFormat="1" applyFont="1" applyFill="1" applyBorder="1" applyAlignment="1">
      <alignment horizontal="center" vertical="center"/>
    </xf>
    <xf numFmtId="1" fontId="2" fillId="6" borderId="0" xfId="0" applyNumberFormat="1" applyFont="1" applyFill="1" applyBorder="1" applyAlignment="1">
      <alignment horizontal="center"/>
    </xf>
    <xf numFmtId="0" fontId="2" fillId="6" borderId="0"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0" fontId="18" fillId="0" borderId="9" xfId="0" applyFont="1" applyFill="1" applyBorder="1" applyAlignment="1">
      <alignment horizontal="center" vertical="center"/>
    </xf>
    <xf numFmtId="0" fontId="4" fillId="6" borderId="0" xfId="0" applyFont="1" applyFill="1" applyAlignment="1">
      <alignment vertical="center"/>
    </xf>
    <xf numFmtId="0" fontId="1" fillId="0" borderId="45" xfId="0" applyFont="1" applyFill="1" applyBorder="1" applyAlignment="1">
      <alignment horizontal="center" vertical="center" wrapText="1"/>
    </xf>
    <xf numFmtId="0" fontId="1" fillId="0" borderId="46" xfId="0" applyFont="1" applyFill="1" applyBorder="1" applyAlignment="1">
      <alignment horizontal="center" vertical="center" wrapText="1"/>
    </xf>
    <xf numFmtId="1" fontId="1" fillId="0" borderId="49" xfId="0" applyNumberFormat="1" applyFont="1" applyFill="1" applyBorder="1" applyAlignment="1">
      <alignment horizontal="center" vertical="center"/>
    </xf>
    <xf numFmtId="1" fontId="1" fillId="0" borderId="37" xfId="0" applyNumberFormat="1" applyFont="1" applyFill="1" applyBorder="1" applyAlignment="1">
      <alignment horizontal="center" vertical="center"/>
    </xf>
    <xf numFmtId="0" fontId="1" fillId="0" borderId="48" xfId="0" applyFont="1" applyFill="1" applyBorder="1" applyAlignment="1">
      <alignment horizontal="center" vertical="center" wrapText="1"/>
    </xf>
    <xf numFmtId="0" fontId="18" fillId="0" borderId="17" xfId="0" applyFont="1" applyFill="1" applyBorder="1" applyAlignment="1">
      <alignment horizontal="center" vertical="center"/>
    </xf>
    <xf numFmtId="0" fontId="13" fillId="6" borderId="0" xfId="0" applyFont="1" applyFill="1" applyAlignment="1">
      <alignment horizontal="left"/>
    </xf>
    <xf numFmtId="199" fontId="1" fillId="5" borderId="0" xfId="0" applyNumberFormat="1" applyFont="1" applyFill="1" applyBorder="1" applyAlignment="1">
      <alignment horizontal="left" vertical="center"/>
    </xf>
    <xf numFmtId="0" fontId="4" fillId="6" borderId="0" xfId="0" applyFont="1" applyFill="1" applyAlignment="1">
      <alignment horizontal="left" vertical="center"/>
    </xf>
    <xf numFmtId="1" fontId="1" fillId="0" borderId="12" xfId="0" applyNumberFormat="1" applyFont="1" applyFill="1" applyBorder="1" applyAlignment="1">
      <alignment horizontal="center" vertical="center"/>
    </xf>
    <xf numFmtId="1" fontId="1" fillId="0" borderId="33" xfId="0" applyNumberFormat="1" applyFont="1" applyFill="1" applyBorder="1" applyAlignment="1">
      <alignment horizontal="center" vertical="center"/>
    </xf>
    <xf numFmtId="1" fontId="1" fillId="0" borderId="13" xfId="0" applyNumberFormat="1" applyFont="1" applyFill="1" applyBorder="1" applyAlignment="1">
      <alignment horizontal="center" vertical="center"/>
    </xf>
    <xf numFmtId="199" fontId="6" fillId="5" borderId="0" xfId="0" applyNumberFormat="1" applyFont="1" applyFill="1" applyBorder="1" applyAlignment="1">
      <alignment horizontal="center" vertical="center"/>
    </xf>
    <xf numFmtId="0" fontId="4" fillId="5" borderId="0" xfId="0" applyFont="1" applyFill="1" applyBorder="1" applyAlignment="1">
      <alignment horizontal="left"/>
    </xf>
    <xf numFmtId="0" fontId="1" fillId="2" borderId="57" xfId="0" applyFont="1" applyFill="1" applyBorder="1" applyAlignment="1">
      <alignment horizontal="center" vertical="center"/>
    </xf>
    <xf numFmtId="0" fontId="1" fillId="2" borderId="58" xfId="0" applyFont="1" applyFill="1" applyBorder="1" applyAlignment="1">
      <alignment horizontal="center" vertical="center"/>
    </xf>
    <xf numFmtId="0" fontId="1" fillId="2" borderId="61" xfId="0" applyFont="1" applyFill="1" applyBorder="1" applyAlignment="1">
      <alignment horizontal="center" vertic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3" fillId="4" borderId="0" xfId="0" applyFont="1" applyFill="1" applyAlignment="1">
      <alignment horizontal="left"/>
    </xf>
    <xf numFmtId="0" fontId="1" fillId="0" borderId="46" xfId="0" applyFont="1" applyFill="1" applyBorder="1" applyAlignment="1">
      <alignment horizontal="center" vertical="center"/>
    </xf>
    <xf numFmtId="0" fontId="2" fillId="0" borderId="17" xfId="0" applyFont="1" applyBorder="1" applyAlignment="1">
      <alignment horizontal="center"/>
    </xf>
    <xf numFmtId="0" fontId="2" fillId="0" borderId="14" xfId="0" applyFont="1" applyBorder="1" applyAlignment="1">
      <alignment horizontal="center"/>
    </xf>
    <xf numFmtId="0" fontId="0" fillId="0" borderId="46" xfId="0" applyBorder="1" applyAlignment="1">
      <alignment/>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8" fillId="0" borderId="0" xfId="0" applyFont="1" applyFill="1" applyAlignment="1">
      <alignment horizontal="left"/>
    </xf>
    <xf numFmtId="0" fontId="1" fillId="0" borderId="70"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14" xfId="0" applyFont="1" applyBorder="1" applyAlignment="1">
      <alignment horizontal="center" vertical="center" wrapText="1"/>
    </xf>
    <xf numFmtId="210" fontId="0" fillId="0" borderId="1" xfId="0" applyNumberFormat="1" applyFont="1" applyBorder="1" applyAlignment="1">
      <alignment horizontal="center" vertical="center"/>
    </xf>
    <xf numFmtId="210" fontId="0" fillId="0" borderId="3" xfId="0" applyNumberFormat="1" applyFont="1" applyBorder="1" applyAlignment="1">
      <alignment horizontal="center" vertical="center"/>
    </xf>
    <xf numFmtId="210" fontId="0" fillId="0" borderId="4" xfId="0" applyNumberFormat="1" applyFont="1" applyBorder="1" applyAlignment="1">
      <alignment horizontal="center" vertical="center"/>
    </xf>
    <xf numFmtId="210" fontId="0" fillId="0" borderId="5" xfId="0" applyNumberFormat="1" applyFont="1" applyBorder="1" applyAlignment="1">
      <alignment horizontal="center" vertical="center"/>
    </xf>
    <xf numFmtId="210" fontId="0" fillId="0" borderId="6" xfId="0" applyNumberFormat="1" applyFont="1" applyBorder="1" applyAlignment="1">
      <alignment horizontal="center" vertical="center"/>
    </xf>
    <xf numFmtId="210" fontId="0" fillId="0" borderId="8" xfId="0" applyNumberFormat="1" applyFont="1" applyBorder="1" applyAlignment="1">
      <alignment horizontal="center" vertical="center"/>
    </xf>
    <xf numFmtId="3" fontId="6" fillId="0" borderId="58" xfId="0" applyNumberFormat="1" applyFont="1" applyBorder="1" applyAlignment="1">
      <alignment horizontal="center" vertical="center"/>
    </xf>
    <xf numFmtId="3" fontId="6" fillId="0" borderId="59" xfId="0" applyNumberFormat="1" applyFont="1" applyBorder="1" applyAlignment="1">
      <alignment horizontal="center" vertical="center"/>
    </xf>
    <xf numFmtId="3" fontId="6" fillId="0" borderId="61" xfId="0" applyNumberFormat="1" applyFont="1" applyBorder="1" applyAlignment="1">
      <alignment horizontal="center" vertical="center"/>
    </xf>
    <xf numFmtId="3" fontId="6" fillId="0" borderId="62" xfId="0" applyNumberFormat="1" applyFont="1" applyBorder="1" applyAlignment="1">
      <alignment horizontal="center" vertical="center"/>
    </xf>
    <xf numFmtId="3" fontId="6" fillId="0" borderId="34" xfId="0" applyNumberFormat="1" applyFont="1" applyBorder="1" applyAlignment="1">
      <alignment horizontal="center" vertical="center"/>
    </xf>
    <xf numFmtId="3" fontId="6" fillId="0" borderId="36" xfId="0" applyNumberFormat="1" applyFont="1" applyBorder="1" applyAlignment="1">
      <alignment horizontal="center" vertical="center"/>
    </xf>
    <xf numFmtId="3" fontId="6" fillId="0" borderId="17" xfId="0" applyNumberFormat="1" applyFont="1" applyBorder="1" applyAlignment="1">
      <alignment horizontal="center" vertical="center"/>
    </xf>
    <xf numFmtId="3" fontId="6" fillId="0" borderId="14" xfId="0" applyNumberFormat="1" applyFont="1" applyBorder="1" applyAlignment="1">
      <alignment horizontal="center" vertical="center"/>
    </xf>
    <xf numFmtId="210" fontId="6" fillId="0" borderId="58" xfId="0" applyNumberFormat="1" applyFont="1" applyBorder="1" applyAlignment="1">
      <alignment horizontal="center" vertical="center"/>
    </xf>
    <xf numFmtId="210" fontId="6" fillId="0" borderId="59" xfId="0" applyNumberFormat="1" applyFont="1" applyBorder="1" applyAlignment="1">
      <alignment horizontal="center" vertical="center"/>
    </xf>
    <xf numFmtId="0" fontId="1" fillId="0" borderId="17" xfId="0" applyFont="1" applyBorder="1" applyAlignment="1">
      <alignment horizontal="center" vertical="center" wrapText="1"/>
    </xf>
    <xf numFmtId="210" fontId="6" fillId="0" borderId="57" xfId="0" applyNumberFormat="1" applyFont="1" applyBorder="1" applyAlignment="1">
      <alignment horizontal="center" vertical="center"/>
    </xf>
    <xf numFmtId="210" fontId="6" fillId="0" borderId="56" xfId="0" applyNumberFormat="1" applyFont="1" applyBorder="1" applyAlignment="1">
      <alignment horizontal="center" vertical="center"/>
    </xf>
    <xf numFmtId="210" fontId="6" fillId="0" borderId="61" xfId="0" applyNumberFormat="1" applyFont="1" applyBorder="1" applyAlignment="1">
      <alignment horizontal="center" vertical="center"/>
    </xf>
    <xf numFmtId="210" fontId="6" fillId="0" borderId="62" xfId="0" applyNumberFormat="1" applyFont="1" applyBorder="1" applyAlignment="1">
      <alignment horizontal="center" vertical="center"/>
    </xf>
    <xf numFmtId="2" fontId="6" fillId="5" borderId="0" xfId="0" applyNumberFormat="1" applyFont="1" applyFill="1" applyBorder="1" applyAlignment="1">
      <alignment horizontal="center" vertical="center"/>
    </xf>
    <xf numFmtId="1" fontId="6" fillId="5" borderId="0" xfId="0" applyNumberFormat="1" applyFont="1" applyFill="1" applyBorder="1" applyAlignment="1" quotePrefix="1">
      <alignment horizontal="center" vertic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20" fontId="6" fillId="0" borderId="61" xfId="0" applyNumberFormat="1" applyFont="1" applyBorder="1" applyAlignment="1">
      <alignment horizontal="center" vertical="center"/>
    </xf>
    <xf numFmtId="0" fontId="0" fillId="0" borderId="67" xfId="0" applyBorder="1" applyAlignment="1">
      <alignment horizontal="center" vertical="center"/>
    </xf>
    <xf numFmtId="0" fontId="0" fillId="0" borderId="62" xfId="0"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3" fontId="2" fillId="0" borderId="38" xfId="0" applyNumberFormat="1" applyFont="1" applyBorder="1" applyAlignment="1">
      <alignment horizontal="center" vertical="center" wrapText="1"/>
    </xf>
    <xf numFmtId="0" fontId="1" fillId="2" borderId="73" xfId="0" applyFont="1" applyFill="1" applyBorder="1" applyAlignment="1">
      <alignment horizontal="left" vertical="center" wrapText="1"/>
    </xf>
    <xf numFmtId="0" fontId="1" fillId="2" borderId="74" xfId="0" applyFont="1" applyFill="1" applyBorder="1" applyAlignment="1">
      <alignment horizontal="left" vertical="center" wrapText="1"/>
    </xf>
    <xf numFmtId="0" fontId="1" fillId="2" borderId="75" xfId="0" applyFont="1" applyFill="1" applyBorder="1" applyAlignment="1">
      <alignment horizontal="left" vertical="center" wrapText="1"/>
    </xf>
    <xf numFmtId="0" fontId="1" fillId="2" borderId="28" xfId="0" applyFont="1" applyFill="1" applyBorder="1" applyAlignment="1">
      <alignment horizontal="left" vertical="center" wrapText="1"/>
    </xf>
    <xf numFmtId="1" fontId="0" fillId="2" borderId="76" xfId="0" applyNumberFormat="1" applyFont="1" applyFill="1" applyBorder="1" applyAlignment="1">
      <alignment horizontal="center" vertical="center"/>
    </xf>
    <xf numFmtId="1" fontId="0" fillId="2" borderId="77" xfId="0" applyNumberFormat="1" applyFont="1" applyFill="1" applyBorder="1" applyAlignment="1">
      <alignment horizontal="center" vertical="center"/>
    </xf>
    <xf numFmtId="18" fontId="0" fillId="2" borderId="78" xfId="0" applyNumberFormat="1" applyFont="1" applyFill="1" applyBorder="1" applyAlignment="1">
      <alignment horizontal="left" vertical="center"/>
    </xf>
    <xf numFmtId="18" fontId="0" fillId="2" borderId="79" xfId="0" applyNumberFormat="1" applyFont="1" applyFill="1" applyBorder="1" applyAlignment="1">
      <alignment horizontal="left" vertical="center"/>
    </xf>
    <xf numFmtId="0" fontId="16" fillId="2" borderId="80" xfId="0" applyFont="1" applyFill="1" applyBorder="1" applyAlignment="1">
      <alignment horizontal="center"/>
    </xf>
    <xf numFmtId="0" fontId="16" fillId="2" borderId="81" xfId="0" applyFont="1" applyFill="1" applyBorder="1" applyAlignment="1">
      <alignment horizontal="center"/>
    </xf>
    <xf numFmtId="0" fontId="1" fillId="2" borderId="82" xfId="0" applyFont="1" applyFill="1" applyBorder="1" applyAlignment="1">
      <alignment horizontal="left" vertical="top" wrapText="1"/>
    </xf>
    <xf numFmtId="0" fontId="1" fillId="2" borderId="83" xfId="0" applyFont="1" applyFill="1" applyBorder="1" applyAlignment="1">
      <alignment horizontal="left" vertical="top" wrapText="1"/>
    </xf>
    <xf numFmtId="0" fontId="2" fillId="5" borderId="0" xfId="0" applyFont="1" applyFill="1" applyBorder="1" applyAlignment="1">
      <alignment horizontal="center" vertical="top"/>
    </xf>
    <xf numFmtId="18" fontId="2" fillId="2" borderId="25" xfId="0" applyNumberFormat="1" applyFont="1" applyFill="1" applyBorder="1" applyAlignment="1">
      <alignment horizontal="center" vertical="center" wrapText="1"/>
    </xf>
    <xf numFmtId="18" fontId="2" fillId="2" borderId="26" xfId="0" applyNumberFormat="1" applyFont="1" applyFill="1" applyBorder="1" applyAlignment="1">
      <alignment horizontal="center" vertical="center" wrapText="1"/>
    </xf>
    <xf numFmtId="18" fontId="2" fillId="2" borderId="84" xfId="0" applyNumberFormat="1" applyFont="1" applyFill="1" applyBorder="1" applyAlignment="1">
      <alignment horizontal="center" vertical="center" wrapText="1"/>
    </xf>
    <xf numFmtId="18" fontId="2" fillId="2" borderId="22" xfId="0" applyNumberFormat="1" applyFont="1" applyFill="1" applyBorder="1" applyAlignment="1">
      <alignment horizontal="center" vertical="center" wrapText="1"/>
    </xf>
    <xf numFmtId="18" fontId="2" fillId="2" borderId="23" xfId="0" applyNumberFormat="1" applyFont="1" applyFill="1" applyBorder="1" applyAlignment="1">
      <alignment horizontal="center" vertical="center" wrapText="1"/>
    </xf>
    <xf numFmtId="18" fontId="2" fillId="2" borderId="85" xfId="0" applyNumberFormat="1" applyFont="1" applyFill="1" applyBorder="1" applyAlignment="1">
      <alignment horizontal="center" vertical="center" wrapText="1"/>
    </xf>
    <xf numFmtId="0" fontId="16" fillId="2" borderId="86" xfId="0" applyFont="1" applyFill="1" applyBorder="1" applyAlignment="1">
      <alignment horizontal="center"/>
    </xf>
    <xf numFmtId="0" fontId="16" fillId="2" borderId="29" xfId="0" applyFont="1" applyFill="1" applyBorder="1" applyAlignment="1">
      <alignment horizontal="center"/>
    </xf>
    <xf numFmtId="199" fontId="5" fillId="2" borderId="57" xfId="0" applyNumberFormat="1" applyFont="1" applyFill="1" applyBorder="1" applyAlignment="1">
      <alignment horizontal="center" vertical="center"/>
    </xf>
    <xf numFmtId="199" fontId="5" fillId="2" borderId="20" xfId="0" applyNumberFormat="1" applyFont="1" applyFill="1" applyBorder="1" applyAlignment="1">
      <alignment horizontal="center" vertical="center"/>
    </xf>
    <xf numFmtId="199" fontId="5" fillId="2" borderId="56" xfId="0" applyNumberFormat="1" applyFont="1" applyFill="1" applyBorder="1" applyAlignment="1">
      <alignment horizontal="center" vertical="center"/>
    </xf>
    <xf numFmtId="0" fontId="1" fillId="2" borderId="57"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56" xfId="0" applyFont="1" applyFill="1" applyBorder="1" applyAlignment="1">
      <alignment horizontal="center" vertical="center" wrapText="1"/>
    </xf>
    <xf numFmtId="199" fontId="2" fillId="2" borderId="87" xfId="0" applyNumberFormat="1" applyFont="1" applyFill="1" applyBorder="1" applyAlignment="1">
      <alignment horizontal="center" vertical="center"/>
    </xf>
    <xf numFmtId="199" fontId="2" fillId="2" borderId="62" xfId="0" applyNumberFormat="1"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3" xfId="0" applyFont="1" applyFill="1" applyBorder="1" applyAlignment="1">
      <alignment horizontal="left" vertical="center" wrapText="1"/>
    </xf>
    <xf numFmtId="199" fontId="2" fillId="2" borderId="88" xfId="0" applyNumberFormat="1" applyFont="1" applyFill="1" applyBorder="1" applyAlignment="1">
      <alignment horizontal="center" vertical="center"/>
    </xf>
    <xf numFmtId="199" fontId="2" fillId="2" borderId="59" xfId="0" applyNumberFormat="1" applyFont="1" applyFill="1" applyBorder="1" applyAlignment="1">
      <alignment horizontal="center" vertical="center"/>
    </xf>
    <xf numFmtId="0" fontId="1" fillId="2" borderId="15"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15" xfId="0" applyFont="1" applyFill="1" applyBorder="1" applyAlignment="1">
      <alignment horizontal="left" vertical="top" wrapText="1"/>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90" xfId="0" applyFont="1" applyFill="1" applyBorder="1" applyAlignment="1">
      <alignment horizontal="center" vertical="center" wrapText="1"/>
    </xf>
    <xf numFmtId="18" fontId="16" fillId="2" borderId="68" xfId="0" applyNumberFormat="1" applyFont="1" applyFill="1" applyBorder="1" applyAlignment="1">
      <alignment horizontal="center" vertical="center" wrapText="1"/>
    </xf>
    <xf numFmtId="18" fontId="16" fillId="2" borderId="81" xfId="0" applyNumberFormat="1" applyFont="1" applyFill="1" applyBorder="1" applyAlignment="1">
      <alignment horizontal="center" vertical="center" wrapText="1"/>
    </xf>
    <xf numFmtId="18" fontId="16" fillId="2" borderId="69" xfId="0" applyNumberFormat="1" applyFont="1" applyFill="1" applyBorder="1" applyAlignment="1">
      <alignment horizontal="center" vertical="center" wrapText="1"/>
    </xf>
    <xf numFmtId="18" fontId="16" fillId="2" borderId="29" xfId="0" applyNumberFormat="1" applyFont="1" applyFill="1" applyBorder="1" applyAlignment="1">
      <alignment horizontal="center" vertical="center" wrapText="1"/>
    </xf>
    <xf numFmtId="186" fontId="16" fillId="2" borderId="80" xfId="0" applyNumberFormat="1" applyFont="1" applyFill="1" applyBorder="1" applyAlignment="1">
      <alignment horizontal="center" vertical="center" wrapText="1"/>
    </xf>
    <xf numFmtId="186" fontId="16" fillId="2" borderId="81" xfId="0" applyNumberFormat="1" applyFont="1" applyFill="1" applyBorder="1" applyAlignment="1">
      <alignment horizontal="center" vertical="center" wrapText="1"/>
    </xf>
    <xf numFmtId="186" fontId="16" fillId="2" borderId="86" xfId="0" applyNumberFormat="1" applyFont="1" applyFill="1" applyBorder="1" applyAlignment="1">
      <alignment horizontal="center" vertical="center" wrapText="1"/>
    </xf>
    <xf numFmtId="186" fontId="16" fillId="2" borderId="29" xfId="0" applyNumberFormat="1" applyFont="1" applyFill="1" applyBorder="1" applyAlignment="1">
      <alignment horizontal="center" vertical="center" wrapText="1"/>
    </xf>
    <xf numFmtId="0" fontId="13" fillId="5" borderId="0" xfId="0" applyFont="1" applyFill="1" applyAlignment="1">
      <alignment horizontal="left"/>
    </xf>
    <xf numFmtId="0" fontId="1" fillId="2" borderId="73" xfId="0" applyFont="1" applyFill="1" applyBorder="1" applyAlignment="1">
      <alignment horizontal="left" vertical="top" wrapText="1"/>
    </xf>
    <xf numFmtId="0" fontId="1" fillId="2" borderId="74"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91" xfId="0" applyFont="1" applyFill="1" applyBorder="1" applyAlignment="1">
      <alignment horizontal="left" vertical="top" wrapText="1"/>
    </xf>
    <xf numFmtId="0" fontId="1" fillId="2" borderId="75" xfId="0" applyFont="1" applyFill="1" applyBorder="1" applyAlignment="1">
      <alignment horizontal="left" vertical="top" wrapText="1"/>
    </xf>
    <xf numFmtId="0" fontId="1" fillId="2" borderId="28" xfId="0" applyFont="1" applyFill="1" applyBorder="1" applyAlignment="1">
      <alignment horizontal="left" vertical="top" wrapText="1"/>
    </xf>
    <xf numFmtId="186" fontId="16" fillId="2" borderId="92" xfId="0" applyNumberFormat="1" applyFont="1" applyFill="1" applyBorder="1" applyAlignment="1">
      <alignment horizontal="center" vertical="center" wrapText="1"/>
    </xf>
    <xf numFmtId="0" fontId="20" fillId="0" borderId="93" xfId="0" applyFont="1" applyBorder="1" applyAlignment="1">
      <alignment horizontal="center" vertical="center" wrapText="1"/>
    </xf>
    <xf numFmtId="0" fontId="20" fillId="0" borderId="94" xfId="0" applyFont="1" applyBorder="1" applyAlignment="1">
      <alignment horizontal="center" vertical="center" wrapText="1"/>
    </xf>
    <xf numFmtId="18" fontId="2" fillId="2" borderId="52" xfId="0" applyNumberFormat="1" applyFont="1" applyFill="1" applyBorder="1" applyAlignment="1">
      <alignment horizontal="center" wrapText="1"/>
    </xf>
    <xf numFmtId="18" fontId="2" fillId="2" borderId="95" xfId="0" applyNumberFormat="1" applyFont="1" applyFill="1" applyBorder="1" applyAlignment="1">
      <alignment horizontal="center" wrapText="1"/>
    </xf>
    <xf numFmtId="0" fontId="2" fillId="2" borderId="44" xfId="0" applyFont="1" applyFill="1" applyBorder="1" applyAlignment="1">
      <alignment horizontal="center" vertical="top"/>
    </xf>
    <xf numFmtId="0" fontId="2" fillId="2" borderId="77" xfId="0" applyFont="1" applyFill="1" applyBorder="1" applyAlignment="1">
      <alignment horizontal="center" vertical="top"/>
    </xf>
    <xf numFmtId="0" fontId="2" fillId="2" borderId="28" xfId="0" applyFont="1" applyFill="1" applyBorder="1" applyAlignment="1">
      <alignment horizontal="center" vertical="top"/>
    </xf>
    <xf numFmtId="0" fontId="5" fillId="0" borderId="58" xfId="0" applyFont="1" applyFill="1" applyBorder="1" applyAlignment="1" applyProtection="1">
      <alignment horizontal="center" vertical="center" wrapText="1"/>
      <protection/>
    </xf>
    <xf numFmtId="0" fontId="5" fillId="0" borderId="59"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protection/>
    </xf>
    <xf numFmtId="0" fontId="5" fillId="0" borderId="57"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5" fillId="0" borderId="56" xfId="0" applyFont="1" applyFill="1" applyBorder="1" applyAlignment="1" applyProtection="1">
      <alignment horizontal="center" vertical="center"/>
      <protection/>
    </xf>
    <xf numFmtId="1" fontId="6" fillId="0" borderId="58" xfId="0" applyNumberFormat="1" applyFont="1" applyFill="1" applyBorder="1" applyAlignment="1" applyProtection="1">
      <alignment horizontal="center" vertical="center"/>
      <protection locked="0"/>
    </xf>
    <xf numFmtId="1" fontId="6" fillId="0" borderId="59" xfId="0" applyNumberFormat="1" applyFont="1" applyFill="1" applyBorder="1" applyAlignment="1" applyProtection="1">
      <alignment horizontal="center" vertical="center"/>
      <protection locked="0"/>
    </xf>
    <xf numFmtId="1" fontId="6" fillId="0" borderId="61" xfId="0" applyNumberFormat="1" applyFont="1" applyFill="1" applyBorder="1" applyAlignment="1" applyProtection="1">
      <alignment horizontal="center" vertical="center"/>
      <protection locked="0"/>
    </xf>
    <xf numFmtId="1" fontId="6" fillId="0" borderId="62" xfId="0" applyNumberFormat="1" applyFont="1" applyFill="1" applyBorder="1" applyAlignment="1" applyProtection="1">
      <alignment horizontal="center" vertical="center"/>
      <protection locked="0"/>
    </xf>
    <xf numFmtId="0" fontId="0" fillId="5" borderId="0" xfId="0" applyFill="1" applyAlignment="1">
      <alignment horizontal="center" vertical="center"/>
    </xf>
    <xf numFmtId="0" fontId="0" fillId="5" borderId="0" xfId="0" applyFill="1" applyAlignment="1">
      <alignment wrapText="1"/>
    </xf>
    <xf numFmtId="0" fontId="0" fillId="0" borderId="0" xfId="0" applyAlignment="1">
      <alignment wrapText="1"/>
    </xf>
    <xf numFmtId="0" fontId="4" fillId="5" borderId="0" xfId="0" applyFont="1" applyFill="1" applyAlignment="1">
      <alignment horizontal="left"/>
    </xf>
    <xf numFmtId="0" fontId="1" fillId="5" borderId="0" xfId="0" applyFont="1" applyFill="1" applyBorder="1" applyAlignment="1">
      <alignment horizontal="center" vertical="center"/>
    </xf>
    <xf numFmtId="0" fontId="1" fillId="0" borderId="15" xfId="0" applyFont="1" applyFill="1" applyBorder="1" applyAlignment="1">
      <alignment horizontal="left" vertical="center"/>
    </xf>
    <xf numFmtId="0" fontId="1" fillId="0" borderId="16" xfId="0" applyFont="1" applyFill="1" applyBorder="1" applyAlignment="1">
      <alignment horizontal="left" vertical="center"/>
    </xf>
    <xf numFmtId="1" fontId="6" fillId="0" borderId="96" xfId="0" applyNumberFormat="1" applyFont="1" applyFill="1" applyBorder="1" applyAlignment="1" quotePrefix="1">
      <alignment horizontal="center" vertical="center"/>
    </xf>
    <xf numFmtId="1" fontId="6" fillId="0" borderId="54" xfId="0" applyNumberFormat="1" applyFont="1" applyFill="1" applyBorder="1" applyAlignment="1" quotePrefix="1">
      <alignment horizontal="center"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2" fontId="6" fillId="0" borderId="66" xfId="0" applyNumberFormat="1" applyFont="1" applyFill="1" applyBorder="1" applyAlignment="1">
      <alignment horizontal="center" vertical="center"/>
    </xf>
    <xf numFmtId="2" fontId="6" fillId="0" borderId="59" xfId="0" applyNumberFormat="1" applyFont="1" applyFill="1" applyBorder="1" applyAlignment="1">
      <alignment horizontal="center" vertical="center"/>
    </xf>
    <xf numFmtId="199" fontId="6" fillId="0" borderId="66" xfId="0" applyNumberFormat="1" applyFont="1" applyFill="1" applyBorder="1" applyAlignment="1">
      <alignment horizontal="center" vertical="center"/>
    </xf>
    <xf numFmtId="199" fontId="6" fillId="0" borderId="59" xfId="0" applyNumberFormat="1" applyFont="1" applyFill="1" applyBorder="1" applyAlignment="1">
      <alignment horizontal="center" vertical="center"/>
    </xf>
    <xf numFmtId="199" fontId="6" fillId="0" borderId="61" xfId="0" applyNumberFormat="1" applyFont="1" applyFill="1" applyBorder="1" applyAlignment="1">
      <alignment horizontal="center" vertical="center"/>
    </xf>
    <xf numFmtId="199" fontId="6" fillId="0" borderId="67" xfId="0" applyNumberFormat="1" applyFont="1" applyFill="1" applyBorder="1" applyAlignment="1">
      <alignment horizontal="center" vertical="center"/>
    </xf>
    <xf numFmtId="199" fontId="6" fillId="0" borderId="62" xfId="0" applyNumberFormat="1" applyFont="1" applyFill="1" applyBorder="1" applyAlignment="1">
      <alignment horizontal="center" vertical="center"/>
    </xf>
    <xf numFmtId="2" fontId="6" fillId="0" borderId="58" xfId="0" applyNumberFormat="1" applyFont="1" applyFill="1" applyBorder="1" applyAlignment="1">
      <alignment horizontal="center" vertical="center"/>
    </xf>
    <xf numFmtId="199" fontId="1" fillId="0" borderId="9" xfId="0" applyNumberFormat="1" applyFont="1" applyFill="1" applyBorder="1" applyAlignment="1">
      <alignment horizontal="left" vertical="center"/>
    </xf>
    <xf numFmtId="199" fontId="1" fillId="0" borderId="10" xfId="0" applyNumberFormat="1" applyFont="1" applyFill="1" applyBorder="1" applyAlignment="1">
      <alignment horizontal="left" vertical="center"/>
    </xf>
    <xf numFmtId="199" fontId="6" fillId="0" borderId="58" xfId="0" applyNumberFormat="1" applyFont="1" applyFill="1" applyBorder="1" applyAlignment="1">
      <alignment horizontal="center" vertical="center"/>
    </xf>
    <xf numFmtId="0" fontId="1" fillId="0" borderId="17" xfId="0" applyFont="1" applyFill="1" applyBorder="1" applyAlignment="1">
      <alignment horizontal="left" vertical="center"/>
    </xf>
    <xf numFmtId="0" fontId="1" fillId="0" borderId="14" xfId="0" applyFont="1" applyFill="1" applyBorder="1" applyAlignment="1">
      <alignment horizontal="left" vertical="center"/>
    </xf>
    <xf numFmtId="0" fontId="12" fillId="3" borderId="0" xfId="0" applyFont="1" applyFill="1" applyAlignment="1">
      <alignment horizontal="left" vertical="top" wrapText="1"/>
    </xf>
    <xf numFmtId="0" fontId="1" fillId="0" borderId="17" xfId="0" applyFont="1" applyFill="1" applyBorder="1" applyAlignment="1">
      <alignment horizontal="left" vertical="center" wrapText="1"/>
    </xf>
    <xf numFmtId="0" fontId="1" fillId="0" borderId="87" xfId="0" applyFont="1" applyFill="1" applyBorder="1" applyAlignment="1">
      <alignment horizontal="left" vertical="center" wrapText="1"/>
    </xf>
    <xf numFmtId="0" fontId="1" fillId="0" borderId="58" xfId="0" applyFont="1" applyFill="1" applyBorder="1" applyAlignment="1">
      <alignment horizontal="left" vertical="center" wrapText="1"/>
    </xf>
    <xf numFmtId="0" fontId="1" fillId="0" borderId="59" xfId="0" applyFont="1" applyFill="1" applyBorder="1" applyAlignment="1">
      <alignment horizontal="left" vertical="center" wrapText="1"/>
    </xf>
    <xf numFmtId="0" fontId="1" fillId="0" borderId="61" xfId="0" applyFont="1" applyFill="1" applyBorder="1" applyAlignment="1">
      <alignment horizontal="left" vertical="center" wrapText="1"/>
    </xf>
    <xf numFmtId="0" fontId="1" fillId="0" borderId="62"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9" xfId="0" applyFont="1" applyFill="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33CCCC"/>
                </a:gs>
                <a:gs pos="100000">
                  <a:srgbClr val="0000FF"/>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2"/>
            <c:invertIfNegative val="0"/>
            <c:spPr>
              <a:gradFill rotWithShape="1">
                <a:gsLst>
                  <a:gs pos="0">
                    <a:srgbClr val="0000FF"/>
                  </a:gs>
                  <a:gs pos="100000">
                    <a:srgbClr val="33CCCC"/>
                  </a:gs>
                </a:gsLst>
                <a:lin ang="0" scaled="1"/>
              </a:gradFill>
              <a:ln w="3175">
                <a:noFill/>
              </a:ln>
            </c:spPr>
          </c:dPt>
          <c:dLbls>
            <c:dLbl>
              <c:idx val="2"/>
              <c:numFmt formatCode="0.00" sourceLinked="0"/>
              <c:spPr>
                <a:noFill/>
                <a:ln>
                  <a:noFill/>
                </a:ln>
              </c:spPr>
              <c:showLegendKey val="0"/>
              <c:showVal val="1"/>
              <c:showBubbleSize val="0"/>
              <c:showCatName val="0"/>
              <c:showSerName val="0"/>
              <c:showPercent val="0"/>
            </c:dLbl>
            <c:numFmt formatCode="0.00" sourceLinked="0"/>
            <c:spPr>
              <a:noFill/>
              <a:ln>
                <a:noFill/>
              </a:ln>
            </c:spPr>
            <c:showLegendKey val="0"/>
            <c:showVal val="1"/>
            <c:showBubbleSize val="0"/>
            <c:showCatName val="0"/>
            <c:showSerName val="0"/>
            <c:showPercent val="0"/>
          </c:dLbls>
          <c:val>
            <c:numLit>
              <c:ptCount val="3"/>
              <c:pt idx="0">
                <c:v>-1</c:v>
              </c:pt>
              <c:pt idx="1">
                <c:v>2</c:v>
              </c:pt>
              <c:pt idx="2">
                <c:v>2.5</c:v>
              </c:pt>
            </c:numLit>
          </c:val>
        </c:ser>
        <c:axId val="17125073"/>
        <c:axId val="19907930"/>
      </c:barChart>
      <c:catAx>
        <c:axId val="17125073"/>
        <c:scaling>
          <c:orientation val="minMax"/>
        </c:scaling>
        <c:axPos val="l"/>
        <c:delete val="0"/>
        <c:numFmt formatCode="General" sourceLinked="1"/>
        <c:majorTickMark val="none"/>
        <c:minorTickMark val="none"/>
        <c:tickLblPos val="none"/>
        <c:crossAx val="19907930"/>
        <c:crosses val="autoZero"/>
        <c:auto val="1"/>
        <c:lblOffset val="100"/>
        <c:noMultiLvlLbl val="0"/>
      </c:catAx>
      <c:valAx>
        <c:axId val="19907930"/>
        <c:scaling>
          <c:orientation val="minMax"/>
          <c:max val="3"/>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C0C0C0"/>
            </a:solidFill>
          </a:ln>
        </c:spPr>
        <c:txPr>
          <a:bodyPr/>
          <a:lstStyle/>
          <a:p>
            <a:pPr>
              <a:defRPr lang="en-US" cap="none" sz="350" b="0" i="0" u="none" baseline="0">
                <a:solidFill>
                  <a:srgbClr val="FFFF99"/>
                </a:solidFill>
                <a:latin typeface="Arial"/>
                <a:ea typeface="Arial"/>
                <a:cs typeface="Arial"/>
              </a:defRPr>
            </a:pPr>
          </a:p>
        </c:txPr>
        <c:crossAx val="17125073"/>
        <c:crossesAt val="1"/>
        <c:crossBetween val="between"/>
        <c:dispUnits/>
      </c:valAx>
      <c:spPr>
        <a:solidFill>
          <a:srgbClr val="FFFFFF"/>
        </a:solidFill>
        <a:ln w="12700">
          <a:solidFill>
            <a:srgbClr val="C0C0C0"/>
          </a:solidFill>
        </a:ln>
      </c:spPr>
    </c:plotArea>
    <c:plotVisOnly val="1"/>
    <c:dispBlanksAs val="gap"/>
    <c:showDLblsOverMax val="0"/>
  </c:chart>
  <c:spPr>
    <a:solidFill>
      <a:srgbClr val="FFFF99"/>
    </a:solidFill>
    <a:ln w="3175">
      <a:noFill/>
    </a:ln>
  </c:spPr>
  <c:txPr>
    <a:bodyPr vert="horz" rot="0"/>
    <a:lstStyle/>
    <a:p>
      <a:pPr>
        <a:defRPr lang="en-US" cap="none" sz="3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2.emf" /><Relationship Id="rId2" Type="http://schemas.openxmlformats.org/officeDocument/2006/relationships/image" Target="../media/image11.emf" /><Relationship Id="rId3" Type="http://schemas.openxmlformats.org/officeDocument/2006/relationships/image" Target="../media/image8.emf" /><Relationship Id="rId4" Type="http://schemas.openxmlformats.org/officeDocument/2006/relationships/image" Target="../media/image34.emf" /><Relationship Id="rId5" Type="http://schemas.openxmlformats.org/officeDocument/2006/relationships/image" Target="../media/image28.emf" /><Relationship Id="rId6" Type="http://schemas.openxmlformats.org/officeDocument/2006/relationships/image" Target="../media/image15.emf" /><Relationship Id="rId7" Type="http://schemas.openxmlformats.org/officeDocument/2006/relationships/image" Target="../media/image2.emf" /><Relationship Id="rId8" Type="http://schemas.openxmlformats.org/officeDocument/2006/relationships/image" Target="../media/image24.emf" /><Relationship Id="rId9" Type="http://schemas.openxmlformats.org/officeDocument/2006/relationships/image" Target="../media/image5.emf" /><Relationship Id="rId10" Type="http://schemas.openxmlformats.org/officeDocument/2006/relationships/image" Target="../media/image16.emf" /><Relationship Id="rId11" Type="http://schemas.openxmlformats.org/officeDocument/2006/relationships/image" Target="../media/image27.emf" /><Relationship Id="rId12" Type="http://schemas.openxmlformats.org/officeDocument/2006/relationships/image" Target="../media/image35.emf" /><Relationship Id="rId13" Type="http://schemas.openxmlformats.org/officeDocument/2006/relationships/image" Target="../media/image22.emf" /><Relationship Id="rId14" Type="http://schemas.openxmlformats.org/officeDocument/2006/relationships/image" Target="../media/image3.emf" /><Relationship Id="rId15" Type="http://schemas.openxmlformats.org/officeDocument/2006/relationships/image" Target="../media/image2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33.emf" /><Relationship Id="rId3" Type="http://schemas.openxmlformats.org/officeDocument/2006/relationships/image" Target="../media/image2.emf" /><Relationship Id="rId4" Type="http://schemas.openxmlformats.org/officeDocument/2006/relationships/image" Target="../media/image29.emf" /><Relationship Id="rId5" Type="http://schemas.openxmlformats.org/officeDocument/2006/relationships/image" Target="../media/image1.emf" /><Relationship Id="rId6" Type="http://schemas.openxmlformats.org/officeDocument/2006/relationships/image" Target="../media/image20.emf" /><Relationship Id="rId7" Type="http://schemas.openxmlformats.org/officeDocument/2006/relationships/image" Target="../media/image6.emf" /><Relationship Id="rId8" Type="http://schemas.openxmlformats.org/officeDocument/2006/relationships/image" Target="../media/image9.emf" /><Relationship Id="rId9" Type="http://schemas.openxmlformats.org/officeDocument/2006/relationships/image" Target="../media/image14.emf" /><Relationship Id="rId10" Type="http://schemas.openxmlformats.org/officeDocument/2006/relationships/image" Target="../media/image23.emf" /></Relationships>
</file>

<file path=xl/drawings/_rels/drawing3.xml.rels><?xml version="1.0" encoding="utf-8" standalone="yes"?><Relationships xmlns="http://schemas.openxmlformats.org/package/2006/relationships"><Relationship Id="rId1" Type="http://schemas.openxmlformats.org/officeDocument/2006/relationships/image" Target="../media/image26.emf" /><Relationship Id="rId2" Type="http://schemas.openxmlformats.org/officeDocument/2006/relationships/image" Target="../media/image10.emf" /><Relationship Id="rId3" Type="http://schemas.openxmlformats.org/officeDocument/2006/relationships/image" Target="../media/image31.emf" /><Relationship Id="rId4" Type="http://schemas.openxmlformats.org/officeDocument/2006/relationships/chart" Target="/xl/charts/chart1.xml" /><Relationship Id="rId5" Type="http://schemas.openxmlformats.org/officeDocument/2006/relationships/image" Target="../media/image13.emf" /><Relationship Id="rId6" Type="http://schemas.openxmlformats.org/officeDocument/2006/relationships/image" Target="../media/image33.emf" /><Relationship Id="rId7" Type="http://schemas.openxmlformats.org/officeDocument/2006/relationships/image" Target="../media/image30.emf" /><Relationship Id="rId8" Type="http://schemas.openxmlformats.org/officeDocument/2006/relationships/image" Target="../media/image25.emf" /><Relationship Id="rId9" Type="http://schemas.openxmlformats.org/officeDocument/2006/relationships/image" Target="../media/image12.emf" /><Relationship Id="rId10" Type="http://schemas.openxmlformats.org/officeDocument/2006/relationships/image" Target="../media/image18.emf" /></Relationships>
</file>

<file path=xl/drawings/_rels/drawing4.xml.rels><?xml version="1.0" encoding="utf-8" standalone="yes"?><Relationships xmlns="http://schemas.openxmlformats.org/package/2006/relationships"><Relationship Id="rId1" Type="http://schemas.openxmlformats.org/officeDocument/2006/relationships/image" Target="../media/image37.emf" /><Relationship Id="rId2" Type="http://schemas.openxmlformats.org/officeDocument/2006/relationships/image" Target="../media/image36.emf" /><Relationship Id="rId3" Type="http://schemas.openxmlformats.org/officeDocument/2006/relationships/image" Target="../media/image33.emf" /><Relationship Id="rId4" Type="http://schemas.openxmlformats.org/officeDocument/2006/relationships/image" Target="../media/image13.emf" /><Relationship Id="rId5" Type="http://schemas.openxmlformats.org/officeDocument/2006/relationships/image" Target="../media/image7.emf" /><Relationship Id="rId6" Type="http://schemas.openxmlformats.org/officeDocument/2006/relationships/image" Target="../media/image4.emf" /><Relationship Id="rId7" Type="http://schemas.openxmlformats.org/officeDocument/2006/relationships/image" Target="../media/image19.emf" /></Relationships>
</file>

<file path=xl/drawings/_rels/drawing5.xml.rels><?xml version="1.0" encoding="utf-8" standalone="yes"?><Relationships xmlns="http://schemas.openxmlformats.org/package/2006/relationships"><Relationship Id="rId1" Type="http://schemas.openxmlformats.org/officeDocument/2006/relationships/image" Target="../media/image1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361950</xdr:colOff>
      <xdr:row>3</xdr:row>
      <xdr:rowOff>0</xdr:rowOff>
    </xdr:from>
    <xdr:to>
      <xdr:col>12</xdr:col>
      <xdr:colOff>180975</xdr:colOff>
      <xdr:row>4</xdr:row>
      <xdr:rowOff>57150</xdr:rowOff>
    </xdr:to>
    <xdr:pic>
      <xdr:nvPicPr>
        <xdr:cNvPr id="1" name="TextBox1"/>
        <xdr:cNvPicPr preferRelativeResize="1">
          <a:picLocks noChangeAspect="1"/>
        </xdr:cNvPicPr>
      </xdr:nvPicPr>
      <xdr:blipFill>
        <a:blip r:embed="rId1"/>
        <a:stretch>
          <a:fillRect/>
        </a:stretch>
      </xdr:blipFill>
      <xdr:spPr>
        <a:xfrm>
          <a:off x="2533650" y="438150"/>
          <a:ext cx="4171950" cy="219075"/>
        </a:xfrm>
        <a:prstGeom prst="rect">
          <a:avLst/>
        </a:prstGeom>
        <a:noFill/>
        <a:ln w="9525" cmpd="sng">
          <a:noFill/>
        </a:ln>
      </xdr:spPr>
    </xdr:pic>
    <xdr:clientData fLocksWithSheet="0"/>
  </xdr:twoCellAnchor>
  <xdr:twoCellAnchor editAs="oneCell">
    <xdr:from>
      <xdr:col>6</xdr:col>
      <xdr:colOff>323850</xdr:colOff>
      <xdr:row>5</xdr:row>
      <xdr:rowOff>0</xdr:rowOff>
    </xdr:from>
    <xdr:to>
      <xdr:col>8</xdr:col>
      <xdr:colOff>257175</xdr:colOff>
      <xdr:row>6</xdr:row>
      <xdr:rowOff>57150</xdr:rowOff>
    </xdr:to>
    <xdr:pic>
      <xdr:nvPicPr>
        <xdr:cNvPr id="2" name="ComboBox1"/>
        <xdr:cNvPicPr preferRelativeResize="1">
          <a:picLocks noChangeAspect="1"/>
        </xdr:cNvPicPr>
      </xdr:nvPicPr>
      <xdr:blipFill>
        <a:blip r:embed="rId2"/>
        <a:stretch>
          <a:fillRect/>
        </a:stretch>
      </xdr:blipFill>
      <xdr:spPr>
        <a:xfrm>
          <a:off x="3133725" y="723900"/>
          <a:ext cx="1152525" cy="219075"/>
        </a:xfrm>
        <a:prstGeom prst="rect">
          <a:avLst/>
        </a:prstGeom>
        <a:noFill/>
        <a:ln w="9525" cmpd="sng">
          <a:noFill/>
        </a:ln>
      </xdr:spPr>
    </xdr:pic>
    <xdr:clientData fLocksWithSheet="0"/>
  </xdr:twoCellAnchor>
  <xdr:twoCellAnchor editAs="oneCell">
    <xdr:from>
      <xdr:col>6</xdr:col>
      <xdr:colOff>0</xdr:colOff>
      <xdr:row>9</xdr:row>
      <xdr:rowOff>123825</xdr:rowOff>
    </xdr:from>
    <xdr:to>
      <xdr:col>7</xdr:col>
      <xdr:colOff>409575</xdr:colOff>
      <xdr:row>11</xdr:row>
      <xdr:rowOff>19050</xdr:rowOff>
    </xdr:to>
    <xdr:pic>
      <xdr:nvPicPr>
        <xdr:cNvPr id="3" name="ComboBox2"/>
        <xdr:cNvPicPr preferRelativeResize="1">
          <a:picLocks noChangeAspect="1"/>
        </xdr:cNvPicPr>
      </xdr:nvPicPr>
      <xdr:blipFill>
        <a:blip r:embed="rId3"/>
        <a:stretch>
          <a:fillRect/>
        </a:stretch>
      </xdr:blipFill>
      <xdr:spPr>
        <a:xfrm>
          <a:off x="2809875" y="1552575"/>
          <a:ext cx="1019175" cy="219075"/>
        </a:xfrm>
        <a:prstGeom prst="rect">
          <a:avLst/>
        </a:prstGeom>
        <a:noFill/>
        <a:ln w="9525" cmpd="sng">
          <a:noFill/>
        </a:ln>
      </xdr:spPr>
    </xdr:pic>
    <xdr:clientData fLocksWithSheet="0"/>
  </xdr:twoCellAnchor>
  <xdr:twoCellAnchor editAs="oneCell">
    <xdr:from>
      <xdr:col>4</xdr:col>
      <xdr:colOff>323850</xdr:colOff>
      <xdr:row>13</xdr:row>
      <xdr:rowOff>123825</xdr:rowOff>
    </xdr:from>
    <xdr:to>
      <xdr:col>5</xdr:col>
      <xdr:colOff>390525</xdr:colOff>
      <xdr:row>15</xdr:row>
      <xdr:rowOff>19050</xdr:rowOff>
    </xdr:to>
    <xdr:pic>
      <xdr:nvPicPr>
        <xdr:cNvPr id="4" name="ComboBox3"/>
        <xdr:cNvPicPr preferRelativeResize="1">
          <a:picLocks noChangeAspect="1"/>
        </xdr:cNvPicPr>
      </xdr:nvPicPr>
      <xdr:blipFill>
        <a:blip r:embed="rId4"/>
        <a:stretch>
          <a:fillRect/>
        </a:stretch>
      </xdr:blipFill>
      <xdr:spPr>
        <a:xfrm>
          <a:off x="1885950" y="2200275"/>
          <a:ext cx="676275" cy="219075"/>
        </a:xfrm>
        <a:prstGeom prst="rect">
          <a:avLst/>
        </a:prstGeom>
        <a:noFill/>
        <a:ln w="9525" cmpd="sng">
          <a:noFill/>
        </a:ln>
      </xdr:spPr>
    </xdr:pic>
    <xdr:clientData fLocksWithSheet="0"/>
  </xdr:twoCellAnchor>
  <xdr:twoCellAnchor editAs="oneCell">
    <xdr:from>
      <xdr:col>6</xdr:col>
      <xdr:colOff>0</xdr:colOff>
      <xdr:row>15</xdr:row>
      <xdr:rowOff>142875</xdr:rowOff>
    </xdr:from>
    <xdr:to>
      <xdr:col>7</xdr:col>
      <xdr:colOff>600075</xdr:colOff>
      <xdr:row>17</xdr:row>
      <xdr:rowOff>38100</xdr:rowOff>
    </xdr:to>
    <xdr:pic>
      <xdr:nvPicPr>
        <xdr:cNvPr id="5" name="ComboBox4"/>
        <xdr:cNvPicPr preferRelativeResize="1">
          <a:picLocks noChangeAspect="1"/>
        </xdr:cNvPicPr>
      </xdr:nvPicPr>
      <xdr:blipFill>
        <a:blip r:embed="rId5"/>
        <a:stretch>
          <a:fillRect/>
        </a:stretch>
      </xdr:blipFill>
      <xdr:spPr>
        <a:xfrm>
          <a:off x="2809875" y="2543175"/>
          <a:ext cx="1209675" cy="219075"/>
        </a:xfrm>
        <a:prstGeom prst="rect">
          <a:avLst/>
        </a:prstGeom>
        <a:noFill/>
        <a:ln w="9525" cmpd="sng">
          <a:noFill/>
        </a:ln>
      </xdr:spPr>
    </xdr:pic>
    <xdr:clientData fLocksWithSheet="0"/>
  </xdr:twoCellAnchor>
  <xdr:twoCellAnchor editAs="oneCell">
    <xdr:from>
      <xdr:col>12</xdr:col>
      <xdr:colOff>295275</xdr:colOff>
      <xdr:row>1</xdr:row>
      <xdr:rowOff>200025</xdr:rowOff>
    </xdr:from>
    <xdr:to>
      <xdr:col>15</xdr:col>
      <xdr:colOff>381000</xdr:colOff>
      <xdr:row>3</xdr:row>
      <xdr:rowOff>0</xdr:rowOff>
    </xdr:to>
    <xdr:pic>
      <xdr:nvPicPr>
        <xdr:cNvPr id="6" name="Label1"/>
        <xdr:cNvPicPr preferRelativeResize="1">
          <a:picLocks noChangeAspect="1"/>
        </xdr:cNvPicPr>
      </xdr:nvPicPr>
      <xdr:blipFill>
        <a:blip r:embed="rId6"/>
        <a:stretch>
          <a:fillRect/>
        </a:stretch>
      </xdr:blipFill>
      <xdr:spPr>
        <a:xfrm>
          <a:off x="6819900" y="257175"/>
          <a:ext cx="1914525" cy="180975"/>
        </a:xfrm>
        <a:prstGeom prst="rect">
          <a:avLst/>
        </a:prstGeom>
        <a:noFill/>
        <a:ln w="9525" cmpd="sng">
          <a:noFill/>
        </a:ln>
      </xdr:spPr>
    </xdr:pic>
    <xdr:clientData/>
  </xdr:twoCellAnchor>
  <xdr:twoCellAnchor editAs="oneCell">
    <xdr:from>
      <xdr:col>12</xdr:col>
      <xdr:colOff>285750</xdr:colOff>
      <xdr:row>3</xdr:row>
      <xdr:rowOff>0</xdr:rowOff>
    </xdr:from>
    <xdr:to>
      <xdr:col>16</xdr:col>
      <xdr:colOff>66675</xdr:colOff>
      <xdr:row>4</xdr:row>
      <xdr:rowOff>66675</xdr:rowOff>
    </xdr:to>
    <xdr:pic>
      <xdr:nvPicPr>
        <xdr:cNvPr id="7" name="ComboBox5"/>
        <xdr:cNvPicPr preferRelativeResize="1">
          <a:picLocks noChangeAspect="1"/>
        </xdr:cNvPicPr>
      </xdr:nvPicPr>
      <xdr:blipFill>
        <a:blip r:embed="rId7"/>
        <a:stretch>
          <a:fillRect/>
        </a:stretch>
      </xdr:blipFill>
      <xdr:spPr>
        <a:xfrm>
          <a:off x="6810375" y="438150"/>
          <a:ext cx="2457450" cy="228600"/>
        </a:xfrm>
        <a:prstGeom prst="rect">
          <a:avLst/>
        </a:prstGeom>
        <a:noFill/>
        <a:ln w="9525" cmpd="sng">
          <a:noFill/>
        </a:ln>
      </xdr:spPr>
    </xdr:pic>
    <xdr:clientData fLocksWithSheet="0"/>
  </xdr:twoCellAnchor>
  <xdr:twoCellAnchor editAs="oneCell">
    <xdr:from>
      <xdr:col>6</xdr:col>
      <xdr:colOff>0</xdr:colOff>
      <xdr:row>1</xdr:row>
      <xdr:rowOff>9525</xdr:rowOff>
    </xdr:from>
    <xdr:to>
      <xdr:col>7</xdr:col>
      <xdr:colOff>447675</xdr:colOff>
      <xdr:row>2</xdr:row>
      <xdr:rowOff>19050</xdr:rowOff>
    </xdr:to>
    <xdr:pic>
      <xdr:nvPicPr>
        <xdr:cNvPr id="8" name="CommandButton2"/>
        <xdr:cNvPicPr preferRelativeResize="1">
          <a:picLocks noChangeAspect="1"/>
        </xdr:cNvPicPr>
      </xdr:nvPicPr>
      <xdr:blipFill>
        <a:blip r:embed="rId8"/>
        <a:stretch>
          <a:fillRect/>
        </a:stretch>
      </xdr:blipFill>
      <xdr:spPr>
        <a:xfrm>
          <a:off x="2809875" y="66675"/>
          <a:ext cx="1057275" cy="266700"/>
        </a:xfrm>
        <a:prstGeom prst="rect">
          <a:avLst/>
        </a:prstGeom>
        <a:noFill/>
        <a:ln w="9525" cmpd="sng">
          <a:noFill/>
        </a:ln>
      </xdr:spPr>
    </xdr:pic>
    <xdr:clientData fLocksWithSheet="0"/>
  </xdr:twoCellAnchor>
  <xdr:twoCellAnchor editAs="oneCell">
    <xdr:from>
      <xdr:col>8</xdr:col>
      <xdr:colOff>0</xdr:colOff>
      <xdr:row>1</xdr:row>
      <xdr:rowOff>9525</xdr:rowOff>
    </xdr:from>
    <xdr:to>
      <xdr:col>9</xdr:col>
      <xdr:colOff>447675</xdr:colOff>
      <xdr:row>2</xdr:row>
      <xdr:rowOff>19050</xdr:rowOff>
    </xdr:to>
    <xdr:pic>
      <xdr:nvPicPr>
        <xdr:cNvPr id="9" name="CommandButton3"/>
        <xdr:cNvPicPr preferRelativeResize="1">
          <a:picLocks noChangeAspect="1"/>
        </xdr:cNvPicPr>
      </xdr:nvPicPr>
      <xdr:blipFill>
        <a:blip r:embed="rId9"/>
        <a:stretch>
          <a:fillRect/>
        </a:stretch>
      </xdr:blipFill>
      <xdr:spPr>
        <a:xfrm>
          <a:off x="4029075" y="66675"/>
          <a:ext cx="1057275" cy="266700"/>
        </a:xfrm>
        <a:prstGeom prst="rect">
          <a:avLst/>
        </a:prstGeom>
        <a:noFill/>
        <a:ln w="9525" cmpd="sng">
          <a:noFill/>
        </a:ln>
      </xdr:spPr>
    </xdr:pic>
    <xdr:clientData fLocksWithSheet="0"/>
  </xdr:twoCellAnchor>
  <xdr:twoCellAnchor editAs="oneCell">
    <xdr:from>
      <xdr:col>6</xdr:col>
      <xdr:colOff>0</xdr:colOff>
      <xdr:row>11</xdr:row>
      <xdr:rowOff>123825</xdr:rowOff>
    </xdr:from>
    <xdr:to>
      <xdr:col>7</xdr:col>
      <xdr:colOff>409575</xdr:colOff>
      <xdr:row>13</xdr:row>
      <xdr:rowOff>19050</xdr:rowOff>
    </xdr:to>
    <xdr:pic>
      <xdr:nvPicPr>
        <xdr:cNvPr id="10" name="ComboBox6"/>
        <xdr:cNvPicPr preferRelativeResize="1">
          <a:picLocks noChangeAspect="1"/>
        </xdr:cNvPicPr>
      </xdr:nvPicPr>
      <xdr:blipFill>
        <a:blip r:embed="rId10"/>
        <a:stretch>
          <a:fillRect/>
        </a:stretch>
      </xdr:blipFill>
      <xdr:spPr>
        <a:xfrm>
          <a:off x="2809875" y="1876425"/>
          <a:ext cx="1019175" cy="219075"/>
        </a:xfrm>
        <a:prstGeom prst="rect">
          <a:avLst/>
        </a:prstGeom>
        <a:noFill/>
        <a:ln w="9525" cmpd="sng">
          <a:noFill/>
        </a:ln>
      </xdr:spPr>
    </xdr:pic>
    <xdr:clientData fLocksWithSheet="0"/>
  </xdr:twoCellAnchor>
  <xdr:twoCellAnchor editAs="oneCell">
    <xdr:from>
      <xdr:col>6</xdr:col>
      <xdr:colOff>0</xdr:colOff>
      <xdr:row>82</xdr:row>
      <xdr:rowOff>114300</xdr:rowOff>
    </xdr:from>
    <xdr:to>
      <xdr:col>7</xdr:col>
      <xdr:colOff>447675</xdr:colOff>
      <xdr:row>84</xdr:row>
      <xdr:rowOff>57150</xdr:rowOff>
    </xdr:to>
    <xdr:pic>
      <xdr:nvPicPr>
        <xdr:cNvPr id="11" name="CommandButton4"/>
        <xdr:cNvPicPr preferRelativeResize="1">
          <a:picLocks noChangeAspect="1"/>
        </xdr:cNvPicPr>
      </xdr:nvPicPr>
      <xdr:blipFill>
        <a:blip r:embed="rId11"/>
        <a:stretch>
          <a:fillRect/>
        </a:stretch>
      </xdr:blipFill>
      <xdr:spPr>
        <a:xfrm>
          <a:off x="2809875" y="14335125"/>
          <a:ext cx="1057275" cy="266700"/>
        </a:xfrm>
        <a:prstGeom prst="rect">
          <a:avLst/>
        </a:prstGeom>
        <a:noFill/>
        <a:ln w="9525" cmpd="sng">
          <a:noFill/>
        </a:ln>
      </xdr:spPr>
    </xdr:pic>
    <xdr:clientData/>
  </xdr:twoCellAnchor>
  <xdr:twoCellAnchor editAs="oneCell">
    <xdr:from>
      <xdr:col>8</xdr:col>
      <xdr:colOff>0</xdr:colOff>
      <xdr:row>82</xdr:row>
      <xdr:rowOff>114300</xdr:rowOff>
    </xdr:from>
    <xdr:to>
      <xdr:col>9</xdr:col>
      <xdr:colOff>447675</xdr:colOff>
      <xdr:row>84</xdr:row>
      <xdr:rowOff>57150</xdr:rowOff>
    </xdr:to>
    <xdr:pic>
      <xdr:nvPicPr>
        <xdr:cNvPr id="12" name="CommandButton5"/>
        <xdr:cNvPicPr preferRelativeResize="1">
          <a:picLocks noChangeAspect="1"/>
        </xdr:cNvPicPr>
      </xdr:nvPicPr>
      <xdr:blipFill>
        <a:blip r:embed="rId12"/>
        <a:stretch>
          <a:fillRect/>
        </a:stretch>
      </xdr:blipFill>
      <xdr:spPr>
        <a:xfrm>
          <a:off x="4029075" y="14335125"/>
          <a:ext cx="1057275" cy="266700"/>
        </a:xfrm>
        <a:prstGeom prst="rect">
          <a:avLst/>
        </a:prstGeom>
        <a:noFill/>
        <a:ln w="9525" cmpd="sng">
          <a:noFill/>
        </a:ln>
      </xdr:spPr>
    </xdr:pic>
    <xdr:clientData/>
  </xdr:twoCellAnchor>
  <xdr:twoCellAnchor editAs="oneCell">
    <xdr:from>
      <xdr:col>10</xdr:col>
      <xdr:colOff>0</xdr:colOff>
      <xdr:row>1</xdr:row>
      <xdr:rowOff>9525</xdr:rowOff>
    </xdr:from>
    <xdr:to>
      <xdr:col>12</xdr:col>
      <xdr:colOff>142875</xdr:colOff>
      <xdr:row>2</xdr:row>
      <xdr:rowOff>19050</xdr:rowOff>
    </xdr:to>
    <xdr:pic>
      <xdr:nvPicPr>
        <xdr:cNvPr id="13" name="CommandButton1"/>
        <xdr:cNvPicPr preferRelativeResize="1">
          <a:picLocks noChangeAspect="1"/>
        </xdr:cNvPicPr>
      </xdr:nvPicPr>
      <xdr:blipFill>
        <a:blip r:embed="rId13"/>
        <a:stretch>
          <a:fillRect/>
        </a:stretch>
      </xdr:blipFill>
      <xdr:spPr>
        <a:xfrm>
          <a:off x="5305425" y="66675"/>
          <a:ext cx="1362075" cy="266700"/>
        </a:xfrm>
        <a:prstGeom prst="rect">
          <a:avLst/>
        </a:prstGeom>
        <a:noFill/>
        <a:ln w="9525" cmpd="sng">
          <a:noFill/>
        </a:ln>
      </xdr:spPr>
    </xdr:pic>
    <xdr:clientData fLocksWithSheet="0"/>
  </xdr:twoCellAnchor>
  <xdr:twoCellAnchor editAs="oneCell">
    <xdr:from>
      <xdr:col>10</xdr:col>
      <xdr:colOff>0</xdr:colOff>
      <xdr:row>82</xdr:row>
      <xdr:rowOff>114300</xdr:rowOff>
    </xdr:from>
    <xdr:to>
      <xdr:col>12</xdr:col>
      <xdr:colOff>142875</xdr:colOff>
      <xdr:row>84</xdr:row>
      <xdr:rowOff>57150</xdr:rowOff>
    </xdr:to>
    <xdr:pic>
      <xdr:nvPicPr>
        <xdr:cNvPr id="14" name="CommandButton6"/>
        <xdr:cNvPicPr preferRelativeResize="1">
          <a:picLocks noChangeAspect="1"/>
        </xdr:cNvPicPr>
      </xdr:nvPicPr>
      <xdr:blipFill>
        <a:blip r:embed="rId14"/>
        <a:stretch>
          <a:fillRect/>
        </a:stretch>
      </xdr:blipFill>
      <xdr:spPr>
        <a:xfrm>
          <a:off x="5305425" y="14335125"/>
          <a:ext cx="1362075" cy="266700"/>
        </a:xfrm>
        <a:prstGeom prst="rect">
          <a:avLst/>
        </a:prstGeom>
        <a:noFill/>
        <a:ln w="9525" cmpd="sng">
          <a:noFill/>
        </a:ln>
      </xdr:spPr>
    </xdr:pic>
    <xdr:clientData fLocksWithSheet="0"/>
  </xdr:twoCellAnchor>
  <xdr:twoCellAnchor editAs="oneCell">
    <xdr:from>
      <xdr:col>11</xdr:col>
      <xdr:colOff>476250</xdr:colOff>
      <xdr:row>4</xdr:row>
      <xdr:rowOff>114300</xdr:rowOff>
    </xdr:from>
    <xdr:to>
      <xdr:col>16</xdr:col>
      <xdr:colOff>57150</xdr:colOff>
      <xdr:row>6</xdr:row>
      <xdr:rowOff>47625</xdr:rowOff>
    </xdr:to>
    <xdr:pic>
      <xdr:nvPicPr>
        <xdr:cNvPr id="15" name="TextBox2"/>
        <xdr:cNvPicPr preferRelativeResize="1">
          <a:picLocks noChangeAspect="1"/>
        </xdr:cNvPicPr>
      </xdr:nvPicPr>
      <xdr:blipFill>
        <a:blip r:embed="rId15"/>
        <a:stretch>
          <a:fillRect/>
        </a:stretch>
      </xdr:blipFill>
      <xdr:spPr>
        <a:xfrm>
          <a:off x="6391275" y="714375"/>
          <a:ext cx="2867025" cy="219075"/>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76200</xdr:colOff>
      <xdr:row>37</xdr:row>
      <xdr:rowOff>114300</xdr:rowOff>
    </xdr:from>
    <xdr:to>
      <xdr:col>12</xdr:col>
      <xdr:colOff>323850</xdr:colOff>
      <xdr:row>37</xdr:row>
      <xdr:rowOff>285750</xdr:rowOff>
    </xdr:to>
    <xdr:pic>
      <xdr:nvPicPr>
        <xdr:cNvPr id="1" name="CheckBox5"/>
        <xdr:cNvPicPr preferRelativeResize="1">
          <a:picLocks noChangeAspect="1"/>
        </xdr:cNvPicPr>
      </xdr:nvPicPr>
      <xdr:blipFill>
        <a:blip r:embed="rId1"/>
        <a:stretch>
          <a:fillRect/>
        </a:stretch>
      </xdr:blipFill>
      <xdr:spPr>
        <a:xfrm>
          <a:off x="6515100" y="7210425"/>
          <a:ext cx="247650" cy="171450"/>
        </a:xfrm>
        <a:prstGeom prst="rect">
          <a:avLst/>
        </a:prstGeom>
        <a:noFill/>
        <a:ln w="9525" cmpd="sng">
          <a:noFill/>
        </a:ln>
      </xdr:spPr>
    </xdr:pic>
    <xdr:clientData/>
  </xdr:twoCellAnchor>
  <xdr:twoCellAnchor editAs="oneCell">
    <xdr:from>
      <xdr:col>12</xdr:col>
      <xdr:colOff>76200</xdr:colOff>
      <xdr:row>38</xdr:row>
      <xdr:rowOff>9525</xdr:rowOff>
    </xdr:from>
    <xdr:to>
      <xdr:col>12</xdr:col>
      <xdr:colOff>323850</xdr:colOff>
      <xdr:row>39</xdr:row>
      <xdr:rowOff>28575</xdr:rowOff>
    </xdr:to>
    <xdr:pic>
      <xdr:nvPicPr>
        <xdr:cNvPr id="2" name="CheckBox6"/>
        <xdr:cNvPicPr preferRelativeResize="1">
          <a:picLocks noChangeAspect="1"/>
        </xdr:cNvPicPr>
      </xdr:nvPicPr>
      <xdr:blipFill>
        <a:blip r:embed="rId1"/>
        <a:stretch>
          <a:fillRect/>
        </a:stretch>
      </xdr:blipFill>
      <xdr:spPr>
        <a:xfrm>
          <a:off x="6515100" y="7400925"/>
          <a:ext cx="247650" cy="171450"/>
        </a:xfrm>
        <a:prstGeom prst="rect">
          <a:avLst/>
        </a:prstGeom>
        <a:noFill/>
        <a:ln w="9525" cmpd="sng">
          <a:noFill/>
        </a:ln>
      </xdr:spPr>
    </xdr:pic>
    <xdr:clientData/>
  </xdr:twoCellAnchor>
  <xdr:twoCellAnchor editAs="oneCell">
    <xdr:from>
      <xdr:col>14</xdr:col>
      <xdr:colOff>66675</xdr:colOff>
      <xdr:row>37</xdr:row>
      <xdr:rowOff>114300</xdr:rowOff>
    </xdr:from>
    <xdr:to>
      <xdr:col>14</xdr:col>
      <xdr:colOff>314325</xdr:colOff>
      <xdr:row>37</xdr:row>
      <xdr:rowOff>285750</xdr:rowOff>
    </xdr:to>
    <xdr:pic>
      <xdr:nvPicPr>
        <xdr:cNvPr id="3" name="CheckBox7"/>
        <xdr:cNvPicPr preferRelativeResize="1">
          <a:picLocks noChangeAspect="1"/>
        </xdr:cNvPicPr>
      </xdr:nvPicPr>
      <xdr:blipFill>
        <a:blip r:embed="rId2"/>
        <a:stretch>
          <a:fillRect/>
        </a:stretch>
      </xdr:blipFill>
      <xdr:spPr>
        <a:xfrm>
          <a:off x="7648575" y="7210425"/>
          <a:ext cx="247650" cy="171450"/>
        </a:xfrm>
        <a:prstGeom prst="rect">
          <a:avLst/>
        </a:prstGeom>
        <a:noFill/>
        <a:ln w="9525" cmpd="sng">
          <a:noFill/>
        </a:ln>
      </xdr:spPr>
    </xdr:pic>
    <xdr:clientData/>
  </xdr:twoCellAnchor>
  <xdr:twoCellAnchor editAs="oneCell">
    <xdr:from>
      <xdr:col>14</xdr:col>
      <xdr:colOff>66675</xdr:colOff>
      <xdr:row>38</xdr:row>
      <xdr:rowOff>9525</xdr:rowOff>
    </xdr:from>
    <xdr:to>
      <xdr:col>14</xdr:col>
      <xdr:colOff>314325</xdr:colOff>
      <xdr:row>39</xdr:row>
      <xdr:rowOff>28575</xdr:rowOff>
    </xdr:to>
    <xdr:pic>
      <xdr:nvPicPr>
        <xdr:cNvPr id="4" name="CheckBox8"/>
        <xdr:cNvPicPr preferRelativeResize="1">
          <a:picLocks noChangeAspect="1"/>
        </xdr:cNvPicPr>
      </xdr:nvPicPr>
      <xdr:blipFill>
        <a:blip r:embed="rId2"/>
        <a:stretch>
          <a:fillRect/>
        </a:stretch>
      </xdr:blipFill>
      <xdr:spPr>
        <a:xfrm>
          <a:off x="7648575" y="7400925"/>
          <a:ext cx="247650" cy="171450"/>
        </a:xfrm>
        <a:prstGeom prst="rect">
          <a:avLst/>
        </a:prstGeom>
        <a:noFill/>
        <a:ln w="9525" cmpd="sng">
          <a:noFill/>
        </a:ln>
      </xdr:spPr>
    </xdr:pic>
    <xdr:clientData/>
  </xdr:twoCellAnchor>
  <xdr:twoCellAnchor editAs="oneCell">
    <xdr:from>
      <xdr:col>12</xdr:col>
      <xdr:colOff>342900</xdr:colOff>
      <xdr:row>0</xdr:row>
      <xdr:rowOff>238125</xdr:rowOff>
    </xdr:from>
    <xdr:to>
      <xdr:col>16</xdr:col>
      <xdr:colOff>733425</xdr:colOff>
      <xdr:row>1</xdr:row>
      <xdr:rowOff>104775</xdr:rowOff>
    </xdr:to>
    <xdr:pic>
      <xdr:nvPicPr>
        <xdr:cNvPr id="5" name="ComboBox1"/>
        <xdr:cNvPicPr preferRelativeResize="1">
          <a:picLocks noChangeAspect="1"/>
        </xdr:cNvPicPr>
      </xdr:nvPicPr>
      <xdr:blipFill>
        <a:blip r:embed="rId3"/>
        <a:stretch>
          <a:fillRect/>
        </a:stretch>
      </xdr:blipFill>
      <xdr:spPr>
        <a:xfrm>
          <a:off x="6781800" y="238125"/>
          <a:ext cx="2457450" cy="228600"/>
        </a:xfrm>
        <a:prstGeom prst="rect">
          <a:avLst/>
        </a:prstGeom>
        <a:noFill/>
        <a:ln w="9525" cmpd="sng">
          <a:noFill/>
        </a:ln>
      </xdr:spPr>
    </xdr:pic>
    <xdr:clientData fLocksWithSheet="0"/>
  </xdr:twoCellAnchor>
  <xdr:twoCellAnchor editAs="oneCell">
    <xdr:from>
      <xdr:col>13</xdr:col>
      <xdr:colOff>0</xdr:colOff>
      <xdr:row>0</xdr:row>
      <xdr:rowOff>38100</xdr:rowOff>
    </xdr:from>
    <xdr:to>
      <xdr:col>16</xdr:col>
      <xdr:colOff>419100</xdr:colOff>
      <xdr:row>0</xdr:row>
      <xdr:rowOff>219075</xdr:rowOff>
    </xdr:to>
    <xdr:pic>
      <xdr:nvPicPr>
        <xdr:cNvPr id="6" name="Label1"/>
        <xdr:cNvPicPr preferRelativeResize="1">
          <a:picLocks noChangeAspect="1"/>
        </xdr:cNvPicPr>
      </xdr:nvPicPr>
      <xdr:blipFill>
        <a:blip r:embed="rId4"/>
        <a:stretch>
          <a:fillRect/>
        </a:stretch>
      </xdr:blipFill>
      <xdr:spPr>
        <a:xfrm>
          <a:off x="7010400" y="38100"/>
          <a:ext cx="1914525" cy="180975"/>
        </a:xfrm>
        <a:prstGeom prst="rect">
          <a:avLst/>
        </a:prstGeom>
        <a:noFill/>
        <a:ln w="9525" cmpd="sng">
          <a:noFill/>
        </a:ln>
      </xdr:spPr>
    </xdr:pic>
    <xdr:clientData/>
  </xdr:twoCellAnchor>
  <xdr:twoCellAnchor editAs="oneCell">
    <xdr:from>
      <xdr:col>5</xdr:col>
      <xdr:colOff>180975</xdr:colOff>
      <xdr:row>0</xdr:row>
      <xdr:rowOff>57150</xdr:rowOff>
    </xdr:from>
    <xdr:to>
      <xdr:col>7</xdr:col>
      <xdr:colOff>38100</xdr:colOff>
      <xdr:row>0</xdr:row>
      <xdr:rowOff>323850</xdr:rowOff>
    </xdr:to>
    <xdr:pic>
      <xdr:nvPicPr>
        <xdr:cNvPr id="7" name="CommandButton1"/>
        <xdr:cNvPicPr preferRelativeResize="1">
          <a:picLocks noChangeAspect="1"/>
        </xdr:cNvPicPr>
      </xdr:nvPicPr>
      <xdr:blipFill>
        <a:blip r:embed="rId5"/>
        <a:stretch>
          <a:fillRect/>
        </a:stretch>
      </xdr:blipFill>
      <xdr:spPr>
        <a:xfrm>
          <a:off x="2524125" y="57150"/>
          <a:ext cx="1057275" cy="266700"/>
        </a:xfrm>
        <a:prstGeom prst="rect">
          <a:avLst/>
        </a:prstGeom>
        <a:noFill/>
        <a:ln w="9525" cmpd="sng">
          <a:noFill/>
        </a:ln>
      </xdr:spPr>
    </xdr:pic>
    <xdr:clientData fLocksWithSheet="0"/>
  </xdr:twoCellAnchor>
  <xdr:twoCellAnchor editAs="oneCell">
    <xdr:from>
      <xdr:col>7</xdr:col>
      <xdr:colOff>219075</xdr:colOff>
      <xdr:row>0</xdr:row>
      <xdr:rowOff>57150</xdr:rowOff>
    </xdr:from>
    <xdr:to>
      <xdr:col>9</xdr:col>
      <xdr:colOff>95250</xdr:colOff>
      <xdr:row>0</xdr:row>
      <xdr:rowOff>323850</xdr:rowOff>
    </xdr:to>
    <xdr:pic>
      <xdr:nvPicPr>
        <xdr:cNvPr id="8" name="CommandButton2"/>
        <xdr:cNvPicPr preferRelativeResize="1">
          <a:picLocks noChangeAspect="1"/>
        </xdr:cNvPicPr>
      </xdr:nvPicPr>
      <xdr:blipFill>
        <a:blip r:embed="rId6"/>
        <a:stretch>
          <a:fillRect/>
        </a:stretch>
      </xdr:blipFill>
      <xdr:spPr>
        <a:xfrm>
          <a:off x="3762375" y="57150"/>
          <a:ext cx="1057275" cy="266700"/>
        </a:xfrm>
        <a:prstGeom prst="rect">
          <a:avLst/>
        </a:prstGeom>
        <a:noFill/>
        <a:ln w="9525" cmpd="sng">
          <a:noFill/>
        </a:ln>
      </xdr:spPr>
    </xdr:pic>
    <xdr:clientData fLocksWithSheet="0"/>
  </xdr:twoCellAnchor>
  <xdr:twoCellAnchor editAs="oneCell">
    <xdr:from>
      <xdr:col>6</xdr:col>
      <xdr:colOff>381000</xdr:colOff>
      <xdr:row>47</xdr:row>
      <xdr:rowOff>85725</xdr:rowOff>
    </xdr:from>
    <xdr:to>
      <xdr:col>6</xdr:col>
      <xdr:colOff>628650</xdr:colOff>
      <xdr:row>47</xdr:row>
      <xdr:rowOff>257175</xdr:rowOff>
    </xdr:to>
    <xdr:pic>
      <xdr:nvPicPr>
        <xdr:cNvPr id="9" name="CheckBox9"/>
        <xdr:cNvPicPr preferRelativeResize="1">
          <a:picLocks noChangeAspect="1"/>
        </xdr:cNvPicPr>
      </xdr:nvPicPr>
      <xdr:blipFill>
        <a:blip r:embed="rId1"/>
        <a:stretch>
          <a:fillRect/>
        </a:stretch>
      </xdr:blipFill>
      <xdr:spPr>
        <a:xfrm>
          <a:off x="3238500" y="8972550"/>
          <a:ext cx="247650" cy="171450"/>
        </a:xfrm>
        <a:prstGeom prst="rect">
          <a:avLst/>
        </a:prstGeom>
        <a:noFill/>
        <a:ln w="9525" cmpd="sng">
          <a:noFill/>
        </a:ln>
      </xdr:spPr>
    </xdr:pic>
    <xdr:clientData/>
  </xdr:twoCellAnchor>
  <xdr:twoCellAnchor editAs="oneCell">
    <xdr:from>
      <xdr:col>6</xdr:col>
      <xdr:colOff>381000</xdr:colOff>
      <xdr:row>48</xdr:row>
      <xdr:rowOff>66675</xdr:rowOff>
    </xdr:from>
    <xdr:to>
      <xdr:col>6</xdr:col>
      <xdr:colOff>628650</xdr:colOff>
      <xdr:row>48</xdr:row>
      <xdr:rowOff>238125</xdr:rowOff>
    </xdr:to>
    <xdr:pic>
      <xdr:nvPicPr>
        <xdr:cNvPr id="10" name="CheckBox10"/>
        <xdr:cNvPicPr preferRelativeResize="1">
          <a:picLocks noChangeAspect="1"/>
        </xdr:cNvPicPr>
      </xdr:nvPicPr>
      <xdr:blipFill>
        <a:blip r:embed="rId1"/>
        <a:stretch>
          <a:fillRect/>
        </a:stretch>
      </xdr:blipFill>
      <xdr:spPr>
        <a:xfrm>
          <a:off x="3238500" y="9277350"/>
          <a:ext cx="247650" cy="171450"/>
        </a:xfrm>
        <a:prstGeom prst="rect">
          <a:avLst/>
        </a:prstGeom>
        <a:noFill/>
        <a:ln w="9525" cmpd="sng">
          <a:noFill/>
        </a:ln>
      </xdr:spPr>
    </xdr:pic>
    <xdr:clientData/>
  </xdr:twoCellAnchor>
  <xdr:twoCellAnchor editAs="oneCell">
    <xdr:from>
      <xdr:col>9</xdr:col>
      <xdr:colOff>123825</xdr:colOff>
      <xdr:row>47</xdr:row>
      <xdr:rowOff>85725</xdr:rowOff>
    </xdr:from>
    <xdr:to>
      <xdr:col>9</xdr:col>
      <xdr:colOff>371475</xdr:colOff>
      <xdr:row>47</xdr:row>
      <xdr:rowOff>257175</xdr:rowOff>
    </xdr:to>
    <xdr:pic>
      <xdr:nvPicPr>
        <xdr:cNvPr id="11" name="CheckBox13"/>
        <xdr:cNvPicPr preferRelativeResize="1">
          <a:picLocks noChangeAspect="1"/>
        </xdr:cNvPicPr>
      </xdr:nvPicPr>
      <xdr:blipFill>
        <a:blip r:embed="rId1"/>
        <a:stretch>
          <a:fillRect/>
        </a:stretch>
      </xdr:blipFill>
      <xdr:spPr>
        <a:xfrm>
          <a:off x="4848225" y="8972550"/>
          <a:ext cx="247650" cy="171450"/>
        </a:xfrm>
        <a:prstGeom prst="rect">
          <a:avLst/>
        </a:prstGeom>
        <a:noFill/>
        <a:ln w="9525" cmpd="sng">
          <a:noFill/>
        </a:ln>
      </xdr:spPr>
    </xdr:pic>
    <xdr:clientData/>
  </xdr:twoCellAnchor>
  <xdr:twoCellAnchor editAs="oneCell">
    <xdr:from>
      <xdr:col>11</xdr:col>
      <xdr:colOff>114300</xdr:colOff>
      <xdr:row>47</xdr:row>
      <xdr:rowOff>85725</xdr:rowOff>
    </xdr:from>
    <xdr:to>
      <xdr:col>11</xdr:col>
      <xdr:colOff>361950</xdr:colOff>
      <xdr:row>47</xdr:row>
      <xdr:rowOff>257175</xdr:rowOff>
    </xdr:to>
    <xdr:pic>
      <xdr:nvPicPr>
        <xdr:cNvPr id="12" name="CheckBox14"/>
        <xdr:cNvPicPr preferRelativeResize="1">
          <a:picLocks noChangeAspect="1"/>
        </xdr:cNvPicPr>
      </xdr:nvPicPr>
      <xdr:blipFill>
        <a:blip r:embed="rId2"/>
        <a:stretch>
          <a:fillRect/>
        </a:stretch>
      </xdr:blipFill>
      <xdr:spPr>
        <a:xfrm>
          <a:off x="5981700" y="8972550"/>
          <a:ext cx="247650" cy="171450"/>
        </a:xfrm>
        <a:prstGeom prst="rect">
          <a:avLst/>
        </a:prstGeom>
        <a:noFill/>
        <a:ln w="9525" cmpd="sng">
          <a:noFill/>
        </a:ln>
      </xdr:spPr>
    </xdr:pic>
    <xdr:clientData/>
  </xdr:twoCellAnchor>
  <xdr:twoCellAnchor>
    <xdr:from>
      <xdr:col>6</xdr:col>
      <xdr:colOff>19050</xdr:colOff>
      <xdr:row>47</xdr:row>
      <xdr:rowOff>76200</xdr:rowOff>
    </xdr:from>
    <xdr:to>
      <xdr:col>6</xdr:col>
      <xdr:colOff>352425</xdr:colOff>
      <xdr:row>47</xdr:row>
      <xdr:rowOff>247650</xdr:rowOff>
    </xdr:to>
    <xdr:sp>
      <xdr:nvSpPr>
        <xdr:cNvPr id="13" name="TextBox 46"/>
        <xdr:cNvSpPr txBox="1">
          <a:spLocks noChangeArrowheads="1"/>
        </xdr:cNvSpPr>
      </xdr:nvSpPr>
      <xdr:spPr>
        <a:xfrm>
          <a:off x="2876550" y="8963025"/>
          <a:ext cx="333375" cy="1714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YES</a:t>
          </a:r>
        </a:p>
      </xdr:txBody>
    </xdr:sp>
    <xdr:clientData/>
  </xdr:twoCellAnchor>
  <xdr:twoCellAnchor>
    <xdr:from>
      <xdr:col>6</xdr:col>
      <xdr:colOff>19050</xdr:colOff>
      <xdr:row>48</xdr:row>
      <xdr:rowOff>66675</xdr:rowOff>
    </xdr:from>
    <xdr:to>
      <xdr:col>6</xdr:col>
      <xdr:colOff>352425</xdr:colOff>
      <xdr:row>48</xdr:row>
      <xdr:rowOff>238125</xdr:rowOff>
    </xdr:to>
    <xdr:sp>
      <xdr:nvSpPr>
        <xdr:cNvPr id="14" name="TextBox 47"/>
        <xdr:cNvSpPr txBox="1">
          <a:spLocks noChangeArrowheads="1"/>
        </xdr:cNvSpPr>
      </xdr:nvSpPr>
      <xdr:spPr>
        <a:xfrm>
          <a:off x="2876550" y="9277350"/>
          <a:ext cx="333375" cy="1714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YES</a:t>
          </a:r>
        </a:p>
      </xdr:txBody>
    </xdr:sp>
    <xdr:clientData/>
  </xdr:twoCellAnchor>
  <xdr:twoCellAnchor>
    <xdr:from>
      <xdr:col>7</xdr:col>
      <xdr:colOff>28575</xdr:colOff>
      <xdr:row>47</xdr:row>
      <xdr:rowOff>76200</xdr:rowOff>
    </xdr:from>
    <xdr:to>
      <xdr:col>7</xdr:col>
      <xdr:colOff>361950</xdr:colOff>
      <xdr:row>47</xdr:row>
      <xdr:rowOff>247650</xdr:rowOff>
    </xdr:to>
    <xdr:sp>
      <xdr:nvSpPr>
        <xdr:cNvPr id="15" name="TextBox 48"/>
        <xdr:cNvSpPr txBox="1">
          <a:spLocks noChangeArrowheads="1"/>
        </xdr:cNvSpPr>
      </xdr:nvSpPr>
      <xdr:spPr>
        <a:xfrm>
          <a:off x="3571875" y="8963025"/>
          <a:ext cx="333375" cy="1714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NO</a:t>
          </a:r>
        </a:p>
      </xdr:txBody>
    </xdr:sp>
    <xdr:clientData/>
  </xdr:twoCellAnchor>
  <xdr:twoCellAnchor>
    <xdr:from>
      <xdr:col>7</xdr:col>
      <xdr:colOff>28575</xdr:colOff>
      <xdr:row>48</xdr:row>
      <xdr:rowOff>66675</xdr:rowOff>
    </xdr:from>
    <xdr:to>
      <xdr:col>7</xdr:col>
      <xdr:colOff>361950</xdr:colOff>
      <xdr:row>48</xdr:row>
      <xdr:rowOff>238125</xdr:rowOff>
    </xdr:to>
    <xdr:sp>
      <xdr:nvSpPr>
        <xdr:cNvPr id="16" name="TextBox 49"/>
        <xdr:cNvSpPr txBox="1">
          <a:spLocks noChangeArrowheads="1"/>
        </xdr:cNvSpPr>
      </xdr:nvSpPr>
      <xdr:spPr>
        <a:xfrm>
          <a:off x="3571875" y="9277350"/>
          <a:ext cx="333375" cy="1714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NO</a:t>
          </a:r>
        </a:p>
      </xdr:txBody>
    </xdr:sp>
    <xdr:clientData/>
  </xdr:twoCellAnchor>
  <xdr:twoCellAnchor editAs="oneCell">
    <xdr:from>
      <xdr:col>7</xdr:col>
      <xdr:colOff>314325</xdr:colOff>
      <xdr:row>47</xdr:row>
      <xdr:rowOff>85725</xdr:rowOff>
    </xdr:from>
    <xdr:to>
      <xdr:col>7</xdr:col>
      <xdr:colOff>561975</xdr:colOff>
      <xdr:row>47</xdr:row>
      <xdr:rowOff>257175</xdr:rowOff>
    </xdr:to>
    <xdr:pic>
      <xdr:nvPicPr>
        <xdr:cNvPr id="17" name="CheckBox11"/>
        <xdr:cNvPicPr preferRelativeResize="1">
          <a:picLocks noChangeAspect="1"/>
        </xdr:cNvPicPr>
      </xdr:nvPicPr>
      <xdr:blipFill>
        <a:blip r:embed="rId2"/>
        <a:stretch>
          <a:fillRect/>
        </a:stretch>
      </xdr:blipFill>
      <xdr:spPr>
        <a:xfrm>
          <a:off x="3857625" y="8972550"/>
          <a:ext cx="247650" cy="171450"/>
        </a:xfrm>
        <a:prstGeom prst="rect">
          <a:avLst/>
        </a:prstGeom>
        <a:noFill/>
        <a:ln w="9525" cmpd="sng">
          <a:noFill/>
        </a:ln>
      </xdr:spPr>
    </xdr:pic>
    <xdr:clientData/>
  </xdr:twoCellAnchor>
  <xdr:twoCellAnchor editAs="oneCell">
    <xdr:from>
      <xdr:col>7</xdr:col>
      <xdr:colOff>323850</xdr:colOff>
      <xdr:row>48</xdr:row>
      <xdr:rowOff>66675</xdr:rowOff>
    </xdr:from>
    <xdr:to>
      <xdr:col>7</xdr:col>
      <xdr:colOff>571500</xdr:colOff>
      <xdr:row>48</xdr:row>
      <xdr:rowOff>238125</xdr:rowOff>
    </xdr:to>
    <xdr:pic>
      <xdr:nvPicPr>
        <xdr:cNvPr id="18" name="CheckBox12"/>
        <xdr:cNvPicPr preferRelativeResize="1">
          <a:picLocks noChangeAspect="1"/>
        </xdr:cNvPicPr>
      </xdr:nvPicPr>
      <xdr:blipFill>
        <a:blip r:embed="rId2"/>
        <a:stretch>
          <a:fillRect/>
        </a:stretch>
      </xdr:blipFill>
      <xdr:spPr>
        <a:xfrm>
          <a:off x="3867150" y="9277350"/>
          <a:ext cx="247650" cy="171450"/>
        </a:xfrm>
        <a:prstGeom prst="rect">
          <a:avLst/>
        </a:prstGeom>
        <a:noFill/>
        <a:ln w="9525" cmpd="sng">
          <a:noFill/>
        </a:ln>
      </xdr:spPr>
    </xdr:pic>
    <xdr:clientData/>
  </xdr:twoCellAnchor>
  <xdr:twoCellAnchor editAs="oneCell">
    <xdr:from>
      <xdr:col>12</xdr:col>
      <xdr:colOff>76200</xdr:colOff>
      <xdr:row>37</xdr:row>
      <xdr:rowOff>114300</xdr:rowOff>
    </xdr:from>
    <xdr:to>
      <xdr:col>12</xdr:col>
      <xdr:colOff>323850</xdr:colOff>
      <xdr:row>37</xdr:row>
      <xdr:rowOff>285750</xdr:rowOff>
    </xdr:to>
    <xdr:pic>
      <xdr:nvPicPr>
        <xdr:cNvPr id="19" name="CheckBox15"/>
        <xdr:cNvPicPr preferRelativeResize="1">
          <a:picLocks noChangeAspect="1"/>
        </xdr:cNvPicPr>
      </xdr:nvPicPr>
      <xdr:blipFill>
        <a:blip r:embed="rId1"/>
        <a:stretch>
          <a:fillRect/>
        </a:stretch>
      </xdr:blipFill>
      <xdr:spPr>
        <a:xfrm>
          <a:off x="6515100" y="7210425"/>
          <a:ext cx="247650" cy="171450"/>
        </a:xfrm>
        <a:prstGeom prst="rect">
          <a:avLst/>
        </a:prstGeom>
        <a:noFill/>
        <a:ln w="9525" cmpd="sng">
          <a:noFill/>
        </a:ln>
      </xdr:spPr>
    </xdr:pic>
    <xdr:clientData/>
  </xdr:twoCellAnchor>
  <xdr:twoCellAnchor editAs="oneCell">
    <xdr:from>
      <xdr:col>5</xdr:col>
      <xdr:colOff>209550</xdr:colOff>
      <xdr:row>121</xdr:row>
      <xdr:rowOff>104775</xdr:rowOff>
    </xdr:from>
    <xdr:to>
      <xdr:col>7</xdr:col>
      <xdr:colOff>66675</xdr:colOff>
      <xdr:row>123</xdr:row>
      <xdr:rowOff>47625</xdr:rowOff>
    </xdr:to>
    <xdr:pic>
      <xdr:nvPicPr>
        <xdr:cNvPr id="20" name="CommandButton3"/>
        <xdr:cNvPicPr preferRelativeResize="1">
          <a:picLocks noChangeAspect="1"/>
        </xdr:cNvPicPr>
      </xdr:nvPicPr>
      <xdr:blipFill>
        <a:blip r:embed="rId7"/>
        <a:stretch>
          <a:fillRect/>
        </a:stretch>
      </xdr:blipFill>
      <xdr:spPr>
        <a:xfrm>
          <a:off x="2552700" y="18888075"/>
          <a:ext cx="1057275" cy="266700"/>
        </a:xfrm>
        <a:prstGeom prst="rect">
          <a:avLst/>
        </a:prstGeom>
        <a:noFill/>
        <a:ln w="9525" cmpd="sng">
          <a:noFill/>
        </a:ln>
      </xdr:spPr>
    </xdr:pic>
    <xdr:clientData fLocksWithSheet="0"/>
  </xdr:twoCellAnchor>
  <xdr:twoCellAnchor editAs="oneCell">
    <xdr:from>
      <xdr:col>7</xdr:col>
      <xdr:colOff>209550</xdr:colOff>
      <xdr:row>121</xdr:row>
      <xdr:rowOff>104775</xdr:rowOff>
    </xdr:from>
    <xdr:to>
      <xdr:col>9</xdr:col>
      <xdr:colOff>85725</xdr:colOff>
      <xdr:row>123</xdr:row>
      <xdr:rowOff>47625</xdr:rowOff>
    </xdr:to>
    <xdr:pic>
      <xdr:nvPicPr>
        <xdr:cNvPr id="21" name="CommandButton5"/>
        <xdr:cNvPicPr preferRelativeResize="1">
          <a:picLocks noChangeAspect="1"/>
        </xdr:cNvPicPr>
      </xdr:nvPicPr>
      <xdr:blipFill>
        <a:blip r:embed="rId8"/>
        <a:stretch>
          <a:fillRect/>
        </a:stretch>
      </xdr:blipFill>
      <xdr:spPr>
        <a:xfrm>
          <a:off x="3752850" y="18888075"/>
          <a:ext cx="1057275" cy="266700"/>
        </a:xfrm>
        <a:prstGeom prst="rect">
          <a:avLst/>
        </a:prstGeom>
        <a:noFill/>
        <a:ln w="9525" cmpd="sng">
          <a:noFill/>
        </a:ln>
      </xdr:spPr>
    </xdr:pic>
    <xdr:clientData fLocksWithSheet="0"/>
  </xdr:twoCellAnchor>
  <xdr:twoCellAnchor editAs="oneCell">
    <xdr:from>
      <xdr:col>2</xdr:col>
      <xdr:colOff>180975</xdr:colOff>
      <xdr:row>10</xdr:row>
      <xdr:rowOff>28575</xdr:rowOff>
    </xdr:from>
    <xdr:to>
      <xdr:col>2</xdr:col>
      <xdr:colOff>428625</xdr:colOff>
      <xdr:row>10</xdr:row>
      <xdr:rowOff>200025</xdr:rowOff>
    </xdr:to>
    <xdr:pic>
      <xdr:nvPicPr>
        <xdr:cNvPr id="22" name="CheckBox16"/>
        <xdr:cNvPicPr preferRelativeResize="1">
          <a:picLocks noChangeAspect="1"/>
        </xdr:cNvPicPr>
      </xdr:nvPicPr>
      <xdr:blipFill>
        <a:blip r:embed="rId2"/>
        <a:stretch>
          <a:fillRect/>
        </a:stretch>
      </xdr:blipFill>
      <xdr:spPr>
        <a:xfrm>
          <a:off x="981075" y="2390775"/>
          <a:ext cx="247650" cy="171450"/>
        </a:xfrm>
        <a:prstGeom prst="rect">
          <a:avLst/>
        </a:prstGeom>
        <a:noFill/>
        <a:ln w="9525" cmpd="sng">
          <a:noFill/>
        </a:ln>
      </xdr:spPr>
    </xdr:pic>
    <xdr:clientData/>
  </xdr:twoCellAnchor>
  <xdr:twoCellAnchor editAs="oneCell">
    <xdr:from>
      <xdr:col>3</xdr:col>
      <xdr:colOff>180975</xdr:colOff>
      <xdr:row>10</xdr:row>
      <xdr:rowOff>28575</xdr:rowOff>
    </xdr:from>
    <xdr:to>
      <xdr:col>3</xdr:col>
      <xdr:colOff>428625</xdr:colOff>
      <xdr:row>10</xdr:row>
      <xdr:rowOff>200025</xdr:rowOff>
    </xdr:to>
    <xdr:pic>
      <xdr:nvPicPr>
        <xdr:cNvPr id="23" name="CheckBox17"/>
        <xdr:cNvPicPr preferRelativeResize="1">
          <a:picLocks noChangeAspect="1"/>
        </xdr:cNvPicPr>
      </xdr:nvPicPr>
      <xdr:blipFill>
        <a:blip r:embed="rId2"/>
        <a:stretch>
          <a:fillRect/>
        </a:stretch>
      </xdr:blipFill>
      <xdr:spPr>
        <a:xfrm>
          <a:off x="1495425" y="2390775"/>
          <a:ext cx="247650" cy="171450"/>
        </a:xfrm>
        <a:prstGeom prst="rect">
          <a:avLst/>
        </a:prstGeom>
        <a:noFill/>
        <a:ln w="9525" cmpd="sng">
          <a:noFill/>
        </a:ln>
      </xdr:spPr>
    </xdr:pic>
    <xdr:clientData/>
  </xdr:twoCellAnchor>
  <xdr:twoCellAnchor editAs="oneCell">
    <xdr:from>
      <xdr:col>4</xdr:col>
      <xdr:colOff>180975</xdr:colOff>
      <xdr:row>10</xdr:row>
      <xdr:rowOff>28575</xdr:rowOff>
    </xdr:from>
    <xdr:to>
      <xdr:col>4</xdr:col>
      <xdr:colOff>428625</xdr:colOff>
      <xdr:row>10</xdr:row>
      <xdr:rowOff>200025</xdr:rowOff>
    </xdr:to>
    <xdr:pic>
      <xdr:nvPicPr>
        <xdr:cNvPr id="24" name="CheckBox18"/>
        <xdr:cNvPicPr preferRelativeResize="1">
          <a:picLocks noChangeAspect="1"/>
        </xdr:cNvPicPr>
      </xdr:nvPicPr>
      <xdr:blipFill>
        <a:blip r:embed="rId2"/>
        <a:stretch>
          <a:fillRect/>
        </a:stretch>
      </xdr:blipFill>
      <xdr:spPr>
        <a:xfrm>
          <a:off x="2009775" y="2390775"/>
          <a:ext cx="247650" cy="171450"/>
        </a:xfrm>
        <a:prstGeom prst="rect">
          <a:avLst/>
        </a:prstGeom>
        <a:noFill/>
        <a:ln w="9525" cmpd="sng">
          <a:noFill/>
        </a:ln>
      </xdr:spPr>
    </xdr:pic>
    <xdr:clientData/>
  </xdr:twoCellAnchor>
  <xdr:twoCellAnchor editAs="oneCell">
    <xdr:from>
      <xdr:col>5</xdr:col>
      <xdr:colOff>180975</xdr:colOff>
      <xdr:row>10</xdr:row>
      <xdr:rowOff>28575</xdr:rowOff>
    </xdr:from>
    <xdr:to>
      <xdr:col>5</xdr:col>
      <xdr:colOff>428625</xdr:colOff>
      <xdr:row>10</xdr:row>
      <xdr:rowOff>200025</xdr:rowOff>
    </xdr:to>
    <xdr:pic>
      <xdr:nvPicPr>
        <xdr:cNvPr id="25" name="CheckBox19"/>
        <xdr:cNvPicPr preferRelativeResize="1">
          <a:picLocks noChangeAspect="1"/>
        </xdr:cNvPicPr>
      </xdr:nvPicPr>
      <xdr:blipFill>
        <a:blip r:embed="rId1"/>
        <a:stretch>
          <a:fillRect/>
        </a:stretch>
      </xdr:blipFill>
      <xdr:spPr>
        <a:xfrm>
          <a:off x="2524125" y="2390775"/>
          <a:ext cx="247650" cy="171450"/>
        </a:xfrm>
        <a:prstGeom prst="rect">
          <a:avLst/>
        </a:prstGeom>
        <a:noFill/>
        <a:ln w="9525" cmpd="sng">
          <a:noFill/>
        </a:ln>
      </xdr:spPr>
    </xdr:pic>
    <xdr:clientData/>
  </xdr:twoCellAnchor>
  <xdr:twoCellAnchor editAs="oneCell">
    <xdr:from>
      <xdr:col>12</xdr:col>
      <xdr:colOff>38100</xdr:colOff>
      <xdr:row>17</xdr:row>
      <xdr:rowOff>152400</xdr:rowOff>
    </xdr:from>
    <xdr:to>
      <xdr:col>12</xdr:col>
      <xdr:colOff>285750</xdr:colOff>
      <xdr:row>18</xdr:row>
      <xdr:rowOff>28575</xdr:rowOff>
    </xdr:to>
    <xdr:pic>
      <xdr:nvPicPr>
        <xdr:cNvPr id="26" name="CheckBox1"/>
        <xdr:cNvPicPr preferRelativeResize="1">
          <a:picLocks noChangeAspect="1"/>
        </xdr:cNvPicPr>
      </xdr:nvPicPr>
      <xdr:blipFill>
        <a:blip r:embed="rId1"/>
        <a:stretch>
          <a:fillRect/>
        </a:stretch>
      </xdr:blipFill>
      <xdr:spPr>
        <a:xfrm>
          <a:off x="6477000" y="3800475"/>
          <a:ext cx="247650" cy="171450"/>
        </a:xfrm>
        <a:prstGeom prst="rect">
          <a:avLst/>
        </a:prstGeom>
        <a:noFill/>
        <a:ln w="9525" cmpd="sng">
          <a:noFill/>
        </a:ln>
      </xdr:spPr>
    </xdr:pic>
    <xdr:clientData/>
  </xdr:twoCellAnchor>
  <xdr:twoCellAnchor editAs="oneCell">
    <xdr:from>
      <xdr:col>12</xdr:col>
      <xdr:colOff>38100</xdr:colOff>
      <xdr:row>18</xdr:row>
      <xdr:rowOff>9525</xdr:rowOff>
    </xdr:from>
    <xdr:to>
      <xdr:col>12</xdr:col>
      <xdr:colOff>285750</xdr:colOff>
      <xdr:row>19</xdr:row>
      <xdr:rowOff>28575</xdr:rowOff>
    </xdr:to>
    <xdr:pic>
      <xdr:nvPicPr>
        <xdr:cNvPr id="27" name="CheckBox2"/>
        <xdr:cNvPicPr preferRelativeResize="1">
          <a:picLocks noChangeAspect="1"/>
        </xdr:cNvPicPr>
      </xdr:nvPicPr>
      <xdr:blipFill>
        <a:blip r:embed="rId1"/>
        <a:stretch>
          <a:fillRect/>
        </a:stretch>
      </xdr:blipFill>
      <xdr:spPr>
        <a:xfrm>
          <a:off x="6477000" y="3952875"/>
          <a:ext cx="247650" cy="171450"/>
        </a:xfrm>
        <a:prstGeom prst="rect">
          <a:avLst/>
        </a:prstGeom>
        <a:noFill/>
        <a:ln w="9525" cmpd="sng">
          <a:noFill/>
        </a:ln>
      </xdr:spPr>
    </xdr:pic>
    <xdr:clientData/>
  </xdr:twoCellAnchor>
  <xdr:twoCellAnchor editAs="oneCell">
    <xdr:from>
      <xdr:col>14</xdr:col>
      <xdr:colOff>38100</xdr:colOff>
      <xdr:row>17</xdr:row>
      <xdr:rowOff>152400</xdr:rowOff>
    </xdr:from>
    <xdr:to>
      <xdr:col>14</xdr:col>
      <xdr:colOff>285750</xdr:colOff>
      <xdr:row>18</xdr:row>
      <xdr:rowOff>28575</xdr:rowOff>
    </xdr:to>
    <xdr:pic>
      <xdr:nvPicPr>
        <xdr:cNvPr id="28" name="CheckBox3"/>
        <xdr:cNvPicPr preferRelativeResize="1">
          <a:picLocks noChangeAspect="1"/>
        </xdr:cNvPicPr>
      </xdr:nvPicPr>
      <xdr:blipFill>
        <a:blip r:embed="rId2"/>
        <a:stretch>
          <a:fillRect/>
        </a:stretch>
      </xdr:blipFill>
      <xdr:spPr>
        <a:xfrm>
          <a:off x="7620000" y="3800475"/>
          <a:ext cx="247650" cy="171450"/>
        </a:xfrm>
        <a:prstGeom prst="rect">
          <a:avLst/>
        </a:prstGeom>
        <a:noFill/>
        <a:ln w="9525" cmpd="sng">
          <a:noFill/>
        </a:ln>
      </xdr:spPr>
    </xdr:pic>
    <xdr:clientData/>
  </xdr:twoCellAnchor>
  <xdr:twoCellAnchor editAs="oneCell">
    <xdr:from>
      <xdr:col>14</xdr:col>
      <xdr:colOff>38100</xdr:colOff>
      <xdr:row>18</xdr:row>
      <xdr:rowOff>9525</xdr:rowOff>
    </xdr:from>
    <xdr:to>
      <xdr:col>14</xdr:col>
      <xdr:colOff>285750</xdr:colOff>
      <xdr:row>19</xdr:row>
      <xdr:rowOff>28575</xdr:rowOff>
    </xdr:to>
    <xdr:pic>
      <xdr:nvPicPr>
        <xdr:cNvPr id="29" name="CheckBox4"/>
        <xdr:cNvPicPr preferRelativeResize="1">
          <a:picLocks noChangeAspect="1"/>
        </xdr:cNvPicPr>
      </xdr:nvPicPr>
      <xdr:blipFill>
        <a:blip r:embed="rId2"/>
        <a:stretch>
          <a:fillRect/>
        </a:stretch>
      </xdr:blipFill>
      <xdr:spPr>
        <a:xfrm>
          <a:off x="7620000" y="3952875"/>
          <a:ext cx="247650" cy="171450"/>
        </a:xfrm>
        <a:prstGeom prst="rect">
          <a:avLst/>
        </a:prstGeom>
        <a:noFill/>
        <a:ln w="9525" cmpd="sng">
          <a:noFill/>
        </a:ln>
      </xdr:spPr>
    </xdr:pic>
    <xdr:clientData/>
  </xdr:twoCellAnchor>
  <xdr:twoCellAnchor editAs="oneCell">
    <xdr:from>
      <xdr:col>2</xdr:col>
      <xdr:colOff>142875</xdr:colOff>
      <xdr:row>29</xdr:row>
      <xdr:rowOff>247650</xdr:rowOff>
    </xdr:from>
    <xdr:to>
      <xdr:col>2</xdr:col>
      <xdr:colOff>390525</xdr:colOff>
      <xdr:row>30</xdr:row>
      <xdr:rowOff>133350</xdr:rowOff>
    </xdr:to>
    <xdr:pic>
      <xdr:nvPicPr>
        <xdr:cNvPr id="30" name="CheckBox20"/>
        <xdr:cNvPicPr preferRelativeResize="1">
          <a:picLocks noChangeAspect="1"/>
        </xdr:cNvPicPr>
      </xdr:nvPicPr>
      <xdr:blipFill>
        <a:blip r:embed="rId2"/>
        <a:stretch>
          <a:fillRect/>
        </a:stretch>
      </xdr:blipFill>
      <xdr:spPr>
        <a:xfrm>
          <a:off x="942975" y="5829300"/>
          <a:ext cx="247650" cy="171450"/>
        </a:xfrm>
        <a:prstGeom prst="rect">
          <a:avLst/>
        </a:prstGeom>
        <a:noFill/>
        <a:ln w="9525" cmpd="sng">
          <a:noFill/>
        </a:ln>
      </xdr:spPr>
    </xdr:pic>
    <xdr:clientData/>
  </xdr:twoCellAnchor>
  <xdr:twoCellAnchor editAs="oneCell">
    <xdr:from>
      <xdr:col>3</xdr:col>
      <xdr:colOff>142875</xdr:colOff>
      <xdr:row>29</xdr:row>
      <xdr:rowOff>247650</xdr:rowOff>
    </xdr:from>
    <xdr:to>
      <xdr:col>3</xdr:col>
      <xdr:colOff>390525</xdr:colOff>
      <xdr:row>30</xdr:row>
      <xdr:rowOff>133350</xdr:rowOff>
    </xdr:to>
    <xdr:pic>
      <xdr:nvPicPr>
        <xdr:cNvPr id="31" name="CheckBox21"/>
        <xdr:cNvPicPr preferRelativeResize="1">
          <a:picLocks noChangeAspect="1"/>
        </xdr:cNvPicPr>
      </xdr:nvPicPr>
      <xdr:blipFill>
        <a:blip r:embed="rId2"/>
        <a:stretch>
          <a:fillRect/>
        </a:stretch>
      </xdr:blipFill>
      <xdr:spPr>
        <a:xfrm>
          <a:off x="1457325" y="5829300"/>
          <a:ext cx="247650" cy="171450"/>
        </a:xfrm>
        <a:prstGeom prst="rect">
          <a:avLst/>
        </a:prstGeom>
        <a:noFill/>
        <a:ln w="9525" cmpd="sng">
          <a:noFill/>
        </a:ln>
      </xdr:spPr>
    </xdr:pic>
    <xdr:clientData/>
  </xdr:twoCellAnchor>
  <xdr:twoCellAnchor editAs="oneCell">
    <xdr:from>
      <xdr:col>4</xdr:col>
      <xdr:colOff>142875</xdr:colOff>
      <xdr:row>29</xdr:row>
      <xdr:rowOff>247650</xdr:rowOff>
    </xdr:from>
    <xdr:to>
      <xdr:col>4</xdr:col>
      <xdr:colOff>390525</xdr:colOff>
      <xdr:row>30</xdr:row>
      <xdr:rowOff>133350</xdr:rowOff>
    </xdr:to>
    <xdr:pic>
      <xdr:nvPicPr>
        <xdr:cNvPr id="32" name="CheckBox22"/>
        <xdr:cNvPicPr preferRelativeResize="1">
          <a:picLocks noChangeAspect="1"/>
        </xdr:cNvPicPr>
      </xdr:nvPicPr>
      <xdr:blipFill>
        <a:blip r:embed="rId2"/>
        <a:stretch>
          <a:fillRect/>
        </a:stretch>
      </xdr:blipFill>
      <xdr:spPr>
        <a:xfrm>
          <a:off x="1971675" y="5829300"/>
          <a:ext cx="247650" cy="171450"/>
        </a:xfrm>
        <a:prstGeom prst="rect">
          <a:avLst/>
        </a:prstGeom>
        <a:noFill/>
        <a:ln w="9525" cmpd="sng">
          <a:noFill/>
        </a:ln>
      </xdr:spPr>
    </xdr:pic>
    <xdr:clientData/>
  </xdr:twoCellAnchor>
  <xdr:twoCellAnchor editAs="oneCell">
    <xdr:from>
      <xdr:col>5</xdr:col>
      <xdr:colOff>133350</xdr:colOff>
      <xdr:row>29</xdr:row>
      <xdr:rowOff>247650</xdr:rowOff>
    </xdr:from>
    <xdr:to>
      <xdr:col>5</xdr:col>
      <xdr:colOff>381000</xdr:colOff>
      <xdr:row>30</xdr:row>
      <xdr:rowOff>133350</xdr:rowOff>
    </xdr:to>
    <xdr:pic>
      <xdr:nvPicPr>
        <xdr:cNvPr id="33" name="CheckBox23"/>
        <xdr:cNvPicPr preferRelativeResize="1">
          <a:picLocks noChangeAspect="1"/>
        </xdr:cNvPicPr>
      </xdr:nvPicPr>
      <xdr:blipFill>
        <a:blip r:embed="rId1"/>
        <a:stretch>
          <a:fillRect/>
        </a:stretch>
      </xdr:blipFill>
      <xdr:spPr>
        <a:xfrm>
          <a:off x="2476500" y="5829300"/>
          <a:ext cx="247650" cy="171450"/>
        </a:xfrm>
        <a:prstGeom prst="rect">
          <a:avLst/>
        </a:prstGeom>
        <a:noFill/>
        <a:ln w="9525" cmpd="sng">
          <a:noFill/>
        </a:ln>
      </xdr:spPr>
    </xdr:pic>
    <xdr:clientData/>
  </xdr:twoCellAnchor>
  <xdr:twoCellAnchor editAs="oneCell">
    <xdr:from>
      <xdr:col>9</xdr:col>
      <xdr:colOff>285750</xdr:colOff>
      <xdr:row>0</xdr:row>
      <xdr:rowOff>57150</xdr:rowOff>
    </xdr:from>
    <xdr:to>
      <xdr:col>11</xdr:col>
      <xdr:colOff>504825</xdr:colOff>
      <xdr:row>0</xdr:row>
      <xdr:rowOff>323850</xdr:rowOff>
    </xdr:to>
    <xdr:pic>
      <xdr:nvPicPr>
        <xdr:cNvPr id="34" name="CommandButton4"/>
        <xdr:cNvPicPr preferRelativeResize="1">
          <a:picLocks noChangeAspect="1"/>
        </xdr:cNvPicPr>
      </xdr:nvPicPr>
      <xdr:blipFill>
        <a:blip r:embed="rId9"/>
        <a:stretch>
          <a:fillRect/>
        </a:stretch>
      </xdr:blipFill>
      <xdr:spPr>
        <a:xfrm>
          <a:off x="5010150" y="57150"/>
          <a:ext cx="1362075" cy="266700"/>
        </a:xfrm>
        <a:prstGeom prst="rect">
          <a:avLst/>
        </a:prstGeom>
        <a:noFill/>
        <a:ln w="9525" cmpd="sng">
          <a:noFill/>
        </a:ln>
      </xdr:spPr>
    </xdr:pic>
    <xdr:clientData fLocksWithSheet="0"/>
  </xdr:twoCellAnchor>
  <xdr:twoCellAnchor editAs="oneCell">
    <xdr:from>
      <xdr:col>9</xdr:col>
      <xdr:colOff>228600</xdr:colOff>
      <xdr:row>121</xdr:row>
      <xdr:rowOff>104775</xdr:rowOff>
    </xdr:from>
    <xdr:to>
      <xdr:col>11</xdr:col>
      <xdr:colOff>447675</xdr:colOff>
      <xdr:row>123</xdr:row>
      <xdr:rowOff>47625</xdr:rowOff>
    </xdr:to>
    <xdr:pic>
      <xdr:nvPicPr>
        <xdr:cNvPr id="35" name="CommandButton6"/>
        <xdr:cNvPicPr preferRelativeResize="1">
          <a:picLocks noChangeAspect="1"/>
        </xdr:cNvPicPr>
      </xdr:nvPicPr>
      <xdr:blipFill>
        <a:blip r:embed="rId10"/>
        <a:stretch>
          <a:fillRect/>
        </a:stretch>
      </xdr:blipFill>
      <xdr:spPr>
        <a:xfrm>
          <a:off x="4953000" y="18888075"/>
          <a:ext cx="1362075" cy="266700"/>
        </a:xfrm>
        <a:prstGeom prst="rect">
          <a:avLst/>
        </a:prstGeom>
        <a:noFill/>
        <a:ln w="9525" cmpd="sng">
          <a:noFill/>
        </a:ln>
      </xdr:spPr>
    </xdr:pic>
    <xdr:clientData fLocksWithSheet="0"/>
  </xdr:twoCellAnchor>
  <xdr:twoCellAnchor>
    <xdr:from>
      <xdr:col>6</xdr:col>
      <xdr:colOff>19050</xdr:colOff>
      <xdr:row>47</xdr:row>
      <xdr:rowOff>66675</xdr:rowOff>
    </xdr:from>
    <xdr:to>
      <xdr:col>6</xdr:col>
      <xdr:colOff>352425</xdr:colOff>
      <xdr:row>47</xdr:row>
      <xdr:rowOff>238125</xdr:rowOff>
    </xdr:to>
    <xdr:sp>
      <xdr:nvSpPr>
        <xdr:cNvPr id="36" name="TextBox 265"/>
        <xdr:cNvSpPr txBox="1">
          <a:spLocks noChangeArrowheads="1"/>
        </xdr:cNvSpPr>
      </xdr:nvSpPr>
      <xdr:spPr>
        <a:xfrm>
          <a:off x="2876550" y="8953500"/>
          <a:ext cx="333375" cy="1714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YES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190500</xdr:colOff>
      <xdr:row>0</xdr:row>
      <xdr:rowOff>38100</xdr:rowOff>
    </xdr:from>
    <xdr:to>
      <xdr:col>13</xdr:col>
      <xdr:colOff>390525</xdr:colOff>
      <xdr:row>0</xdr:row>
      <xdr:rowOff>219075</xdr:rowOff>
    </xdr:to>
    <xdr:pic>
      <xdr:nvPicPr>
        <xdr:cNvPr id="1" name="Label1"/>
        <xdr:cNvPicPr preferRelativeResize="1">
          <a:picLocks noChangeAspect="1"/>
        </xdr:cNvPicPr>
      </xdr:nvPicPr>
      <xdr:blipFill>
        <a:blip r:embed="rId1"/>
        <a:stretch>
          <a:fillRect/>
        </a:stretch>
      </xdr:blipFill>
      <xdr:spPr>
        <a:xfrm>
          <a:off x="6896100" y="38100"/>
          <a:ext cx="1914525" cy="180975"/>
        </a:xfrm>
        <a:prstGeom prst="rect">
          <a:avLst/>
        </a:prstGeom>
        <a:noFill/>
        <a:ln w="9525" cmpd="sng">
          <a:noFill/>
        </a:ln>
      </xdr:spPr>
    </xdr:pic>
    <xdr:clientData/>
  </xdr:twoCellAnchor>
  <xdr:twoCellAnchor editAs="oneCell">
    <xdr:from>
      <xdr:col>3</xdr:col>
      <xdr:colOff>0</xdr:colOff>
      <xdr:row>0</xdr:row>
      <xdr:rowOff>57150</xdr:rowOff>
    </xdr:from>
    <xdr:to>
      <xdr:col>4</xdr:col>
      <xdr:colOff>371475</xdr:colOff>
      <xdr:row>0</xdr:row>
      <xdr:rowOff>323850</xdr:rowOff>
    </xdr:to>
    <xdr:pic>
      <xdr:nvPicPr>
        <xdr:cNvPr id="2" name="CommandButton1"/>
        <xdr:cNvPicPr preferRelativeResize="1">
          <a:picLocks noChangeAspect="1"/>
        </xdr:cNvPicPr>
      </xdr:nvPicPr>
      <xdr:blipFill>
        <a:blip r:embed="rId2"/>
        <a:stretch>
          <a:fillRect/>
        </a:stretch>
      </xdr:blipFill>
      <xdr:spPr>
        <a:xfrm>
          <a:off x="2362200" y="57150"/>
          <a:ext cx="1057275" cy="266700"/>
        </a:xfrm>
        <a:prstGeom prst="rect">
          <a:avLst/>
        </a:prstGeom>
        <a:noFill/>
        <a:ln w="9525" cmpd="sng">
          <a:noFill/>
        </a:ln>
      </xdr:spPr>
    </xdr:pic>
    <xdr:clientData fLocksWithSheet="0"/>
  </xdr:twoCellAnchor>
  <xdr:twoCellAnchor editAs="oneCell">
    <xdr:from>
      <xdr:col>5</xdr:col>
      <xdr:colOff>28575</xdr:colOff>
      <xdr:row>0</xdr:row>
      <xdr:rowOff>57150</xdr:rowOff>
    </xdr:from>
    <xdr:to>
      <xdr:col>6</xdr:col>
      <xdr:colOff>476250</xdr:colOff>
      <xdr:row>0</xdr:row>
      <xdr:rowOff>323850</xdr:rowOff>
    </xdr:to>
    <xdr:pic>
      <xdr:nvPicPr>
        <xdr:cNvPr id="3" name="CommandButton2"/>
        <xdr:cNvPicPr preferRelativeResize="1">
          <a:picLocks noChangeAspect="1"/>
        </xdr:cNvPicPr>
      </xdr:nvPicPr>
      <xdr:blipFill>
        <a:blip r:embed="rId3"/>
        <a:stretch>
          <a:fillRect/>
        </a:stretch>
      </xdr:blipFill>
      <xdr:spPr>
        <a:xfrm>
          <a:off x="3686175" y="57150"/>
          <a:ext cx="1057275" cy="266700"/>
        </a:xfrm>
        <a:prstGeom prst="rect">
          <a:avLst/>
        </a:prstGeom>
        <a:noFill/>
        <a:ln w="9525" cmpd="sng">
          <a:noFill/>
        </a:ln>
      </xdr:spPr>
    </xdr:pic>
    <xdr:clientData fLocksWithSheet="0"/>
  </xdr:twoCellAnchor>
  <xdr:twoCellAnchor>
    <xdr:from>
      <xdr:col>6</xdr:col>
      <xdr:colOff>57150</xdr:colOff>
      <xdr:row>37</xdr:row>
      <xdr:rowOff>114300</xdr:rowOff>
    </xdr:from>
    <xdr:to>
      <xdr:col>14</xdr:col>
      <xdr:colOff>0</xdr:colOff>
      <xdr:row>44</xdr:row>
      <xdr:rowOff>0</xdr:rowOff>
    </xdr:to>
    <xdr:graphicFrame>
      <xdr:nvGraphicFramePr>
        <xdr:cNvPr id="4" name="Chart 13"/>
        <xdr:cNvGraphicFramePr/>
      </xdr:nvGraphicFramePr>
      <xdr:xfrm>
        <a:off x="4324350" y="5391150"/>
        <a:ext cx="4953000" cy="0"/>
      </xdr:xfrm>
      <a:graphic>
        <a:graphicData uri="http://schemas.openxmlformats.org/drawingml/2006/chart">
          <c:chart xmlns:c="http://schemas.openxmlformats.org/drawingml/2006/chart" r:id="rId4"/>
        </a:graphicData>
      </a:graphic>
    </xdr:graphicFrame>
    <xdr:clientData/>
  </xdr:twoCellAnchor>
  <xdr:twoCellAnchor editAs="oneCell">
    <xdr:from>
      <xdr:col>6</xdr:col>
      <xdr:colOff>228600</xdr:colOff>
      <xdr:row>8</xdr:row>
      <xdr:rowOff>152400</xdr:rowOff>
    </xdr:from>
    <xdr:to>
      <xdr:col>6</xdr:col>
      <xdr:colOff>476250</xdr:colOff>
      <xdr:row>9</xdr:row>
      <xdr:rowOff>76200</xdr:rowOff>
    </xdr:to>
    <xdr:pic>
      <xdr:nvPicPr>
        <xdr:cNvPr id="5" name="CheckBox1"/>
        <xdr:cNvPicPr preferRelativeResize="1">
          <a:picLocks noChangeAspect="1"/>
        </xdr:cNvPicPr>
      </xdr:nvPicPr>
      <xdr:blipFill>
        <a:blip r:embed="rId5"/>
        <a:stretch>
          <a:fillRect/>
        </a:stretch>
      </xdr:blipFill>
      <xdr:spPr>
        <a:xfrm>
          <a:off x="4495800" y="1676400"/>
          <a:ext cx="247650" cy="171450"/>
        </a:xfrm>
        <a:prstGeom prst="rect">
          <a:avLst/>
        </a:prstGeom>
        <a:noFill/>
        <a:ln w="9525" cmpd="sng">
          <a:noFill/>
        </a:ln>
      </xdr:spPr>
    </xdr:pic>
    <xdr:clientData/>
  </xdr:twoCellAnchor>
  <xdr:twoCellAnchor editAs="oneCell">
    <xdr:from>
      <xdr:col>7</xdr:col>
      <xdr:colOff>238125</xdr:colOff>
      <xdr:row>8</xdr:row>
      <xdr:rowOff>152400</xdr:rowOff>
    </xdr:from>
    <xdr:to>
      <xdr:col>7</xdr:col>
      <xdr:colOff>485775</xdr:colOff>
      <xdr:row>9</xdr:row>
      <xdr:rowOff>76200</xdr:rowOff>
    </xdr:to>
    <xdr:pic>
      <xdr:nvPicPr>
        <xdr:cNvPr id="6" name="CheckBox3"/>
        <xdr:cNvPicPr preferRelativeResize="1">
          <a:picLocks noChangeAspect="1"/>
        </xdr:cNvPicPr>
      </xdr:nvPicPr>
      <xdr:blipFill>
        <a:blip r:embed="rId6"/>
        <a:stretch>
          <a:fillRect/>
        </a:stretch>
      </xdr:blipFill>
      <xdr:spPr>
        <a:xfrm>
          <a:off x="5114925" y="1676400"/>
          <a:ext cx="247650" cy="171450"/>
        </a:xfrm>
        <a:prstGeom prst="rect">
          <a:avLst/>
        </a:prstGeom>
        <a:noFill/>
        <a:ln w="9525" cmpd="sng">
          <a:noFill/>
        </a:ln>
      </xdr:spPr>
    </xdr:pic>
    <xdr:clientData/>
  </xdr:twoCellAnchor>
  <xdr:twoCellAnchor editAs="oneCell">
    <xdr:from>
      <xdr:col>6</xdr:col>
      <xdr:colOff>228600</xdr:colOff>
      <xdr:row>10</xdr:row>
      <xdr:rowOff>161925</xdr:rowOff>
    </xdr:from>
    <xdr:to>
      <xdr:col>6</xdr:col>
      <xdr:colOff>476250</xdr:colOff>
      <xdr:row>11</xdr:row>
      <xdr:rowOff>85725</xdr:rowOff>
    </xdr:to>
    <xdr:pic>
      <xdr:nvPicPr>
        <xdr:cNvPr id="7" name="CheckBox5"/>
        <xdr:cNvPicPr preferRelativeResize="1">
          <a:picLocks noChangeAspect="1"/>
        </xdr:cNvPicPr>
      </xdr:nvPicPr>
      <xdr:blipFill>
        <a:blip r:embed="rId5"/>
        <a:stretch>
          <a:fillRect/>
        </a:stretch>
      </xdr:blipFill>
      <xdr:spPr>
        <a:xfrm>
          <a:off x="4495800" y="2181225"/>
          <a:ext cx="247650" cy="171450"/>
        </a:xfrm>
        <a:prstGeom prst="rect">
          <a:avLst/>
        </a:prstGeom>
        <a:noFill/>
        <a:ln w="9525" cmpd="sng">
          <a:noFill/>
        </a:ln>
      </xdr:spPr>
    </xdr:pic>
    <xdr:clientData/>
  </xdr:twoCellAnchor>
  <xdr:twoCellAnchor editAs="oneCell">
    <xdr:from>
      <xdr:col>7</xdr:col>
      <xdr:colOff>238125</xdr:colOff>
      <xdr:row>10</xdr:row>
      <xdr:rowOff>161925</xdr:rowOff>
    </xdr:from>
    <xdr:to>
      <xdr:col>7</xdr:col>
      <xdr:colOff>485775</xdr:colOff>
      <xdr:row>11</xdr:row>
      <xdr:rowOff>85725</xdr:rowOff>
    </xdr:to>
    <xdr:pic>
      <xdr:nvPicPr>
        <xdr:cNvPr id="8" name="CheckBox7"/>
        <xdr:cNvPicPr preferRelativeResize="1">
          <a:picLocks noChangeAspect="1"/>
        </xdr:cNvPicPr>
      </xdr:nvPicPr>
      <xdr:blipFill>
        <a:blip r:embed="rId6"/>
        <a:stretch>
          <a:fillRect/>
        </a:stretch>
      </xdr:blipFill>
      <xdr:spPr>
        <a:xfrm>
          <a:off x="5114925" y="2181225"/>
          <a:ext cx="247650" cy="171450"/>
        </a:xfrm>
        <a:prstGeom prst="rect">
          <a:avLst/>
        </a:prstGeom>
        <a:noFill/>
        <a:ln w="9525" cmpd="sng">
          <a:noFill/>
        </a:ln>
      </xdr:spPr>
    </xdr:pic>
    <xdr:clientData/>
  </xdr:twoCellAnchor>
  <xdr:twoCellAnchor editAs="oneCell">
    <xdr:from>
      <xdr:col>6</xdr:col>
      <xdr:colOff>228600</xdr:colOff>
      <xdr:row>12</xdr:row>
      <xdr:rowOff>161925</xdr:rowOff>
    </xdr:from>
    <xdr:to>
      <xdr:col>6</xdr:col>
      <xdr:colOff>476250</xdr:colOff>
      <xdr:row>13</xdr:row>
      <xdr:rowOff>85725</xdr:rowOff>
    </xdr:to>
    <xdr:pic>
      <xdr:nvPicPr>
        <xdr:cNvPr id="9" name="CheckBox9"/>
        <xdr:cNvPicPr preferRelativeResize="1">
          <a:picLocks noChangeAspect="1"/>
        </xdr:cNvPicPr>
      </xdr:nvPicPr>
      <xdr:blipFill>
        <a:blip r:embed="rId5"/>
        <a:stretch>
          <a:fillRect/>
        </a:stretch>
      </xdr:blipFill>
      <xdr:spPr>
        <a:xfrm>
          <a:off x="4495800" y="2676525"/>
          <a:ext cx="247650" cy="171450"/>
        </a:xfrm>
        <a:prstGeom prst="rect">
          <a:avLst/>
        </a:prstGeom>
        <a:noFill/>
        <a:ln w="9525" cmpd="sng">
          <a:noFill/>
        </a:ln>
      </xdr:spPr>
    </xdr:pic>
    <xdr:clientData/>
  </xdr:twoCellAnchor>
  <xdr:twoCellAnchor editAs="oneCell">
    <xdr:from>
      <xdr:col>7</xdr:col>
      <xdr:colOff>238125</xdr:colOff>
      <xdr:row>12</xdr:row>
      <xdr:rowOff>161925</xdr:rowOff>
    </xdr:from>
    <xdr:to>
      <xdr:col>7</xdr:col>
      <xdr:colOff>485775</xdr:colOff>
      <xdr:row>13</xdr:row>
      <xdr:rowOff>85725</xdr:rowOff>
    </xdr:to>
    <xdr:pic>
      <xdr:nvPicPr>
        <xdr:cNvPr id="10" name="CheckBox11"/>
        <xdr:cNvPicPr preferRelativeResize="1">
          <a:picLocks noChangeAspect="1"/>
        </xdr:cNvPicPr>
      </xdr:nvPicPr>
      <xdr:blipFill>
        <a:blip r:embed="rId6"/>
        <a:stretch>
          <a:fillRect/>
        </a:stretch>
      </xdr:blipFill>
      <xdr:spPr>
        <a:xfrm>
          <a:off x="5114925" y="2676525"/>
          <a:ext cx="247650" cy="171450"/>
        </a:xfrm>
        <a:prstGeom prst="rect">
          <a:avLst/>
        </a:prstGeom>
        <a:noFill/>
        <a:ln w="9525" cmpd="sng">
          <a:noFill/>
        </a:ln>
      </xdr:spPr>
    </xdr:pic>
    <xdr:clientData/>
  </xdr:twoCellAnchor>
  <xdr:twoCellAnchor editAs="oneCell">
    <xdr:from>
      <xdr:col>6</xdr:col>
      <xdr:colOff>228600</xdr:colOff>
      <xdr:row>14</xdr:row>
      <xdr:rowOff>57150</xdr:rowOff>
    </xdr:from>
    <xdr:to>
      <xdr:col>6</xdr:col>
      <xdr:colOff>476250</xdr:colOff>
      <xdr:row>14</xdr:row>
      <xdr:rowOff>219075</xdr:rowOff>
    </xdr:to>
    <xdr:pic>
      <xdr:nvPicPr>
        <xdr:cNvPr id="11" name="CheckBox13"/>
        <xdr:cNvPicPr preferRelativeResize="1">
          <a:picLocks noChangeAspect="1"/>
        </xdr:cNvPicPr>
      </xdr:nvPicPr>
      <xdr:blipFill>
        <a:blip r:embed="rId5"/>
        <a:stretch>
          <a:fillRect/>
        </a:stretch>
      </xdr:blipFill>
      <xdr:spPr>
        <a:xfrm>
          <a:off x="4495800" y="3067050"/>
          <a:ext cx="247650" cy="161925"/>
        </a:xfrm>
        <a:prstGeom prst="rect">
          <a:avLst/>
        </a:prstGeom>
        <a:noFill/>
        <a:ln w="9525" cmpd="sng">
          <a:noFill/>
        </a:ln>
      </xdr:spPr>
    </xdr:pic>
    <xdr:clientData/>
  </xdr:twoCellAnchor>
  <xdr:twoCellAnchor editAs="oneCell">
    <xdr:from>
      <xdr:col>7</xdr:col>
      <xdr:colOff>238125</xdr:colOff>
      <xdr:row>14</xdr:row>
      <xdr:rowOff>57150</xdr:rowOff>
    </xdr:from>
    <xdr:to>
      <xdr:col>7</xdr:col>
      <xdr:colOff>485775</xdr:colOff>
      <xdr:row>14</xdr:row>
      <xdr:rowOff>219075</xdr:rowOff>
    </xdr:to>
    <xdr:pic>
      <xdr:nvPicPr>
        <xdr:cNvPr id="12" name="CheckBox14"/>
        <xdr:cNvPicPr preferRelativeResize="1">
          <a:picLocks noChangeAspect="1"/>
        </xdr:cNvPicPr>
      </xdr:nvPicPr>
      <xdr:blipFill>
        <a:blip r:embed="rId6"/>
        <a:stretch>
          <a:fillRect/>
        </a:stretch>
      </xdr:blipFill>
      <xdr:spPr>
        <a:xfrm>
          <a:off x="5114925" y="3067050"/>
          <a:ext cx="247650" cy="161925"/>
        </a:xfrm>
        <a:prstGeom prst="rect">
          <a:avLst/>
        </a:prstGeom>
        <a:noFill/>
        <a:ln w="9525" cmpd="sng">
          <a:noFill/>
        </a:ln>
      </xdr:spPr>
    </xdr:pic>
    <xdr:clientData/>
  </xdr:twoCellAnchor>
  <xdr:twoCellAnchor editAs="oneCell">
    <xdr:from>
      <xdr:col>6</xdr:col>
      <xdr:colOff>219075</xdr:colOff>
      <xdr:row>28</xdr:row>
      <xdr:rowOff>161925</xdr:rowOff>
    </xdr:from>
    <xdr:to>
      <xdr:col>6</xdr:col>
      <xdr:colOff>466725</xdr:colOff>
      <xdr:row>29</xdr:row>
      <xdr:rowOff>95250</xdr:rowOff>
    </xdr:to>
    <xdr:pic>
      <xdr:nvPicPr>
        <xdr:cNvPr id="13" name="CheckBox17"/>
        <xdr:cNvPicPr preferRelativeResize="1">
          <a:picLocks noChangeAspect="1"/>
        </xdr:cNvPicPr>
      </xdr:nvPicPr>
      <xdr:blipFill>
        <a:blip r:embed="rId6"/>
        <a:stretch>
          <a:fillRect/>
        </a:stretch>
      </xdr:blipFill>
      <xdr:spPr>
        <a:xfrm>
          <a:off x="4486275" y="4352925"/>
          <a:ext cx="247650" cy="180975"/>
        </a:xfrm>
        <a:prstGeom prst="rect">
          <a:avLst/>
        </a:prstGeom>
        <a:noFill/>
        <a:ln w="9525" cmpd="sng">
          <a:noFill/>
        </a:ln>
      </xdr:spPr>
    </xdr:pic>
    <xdr:clientData/>
  </xdr:twoCellAnchor>
  <xdr:twoCellAnchor editAs="oneCell">
    <xdr:from>
      <xdr:col>7</xdr:col>
      <xdr:colOff>228600</xdr:colOff>
      <xdr:row>28</xdr:row>
      <xdr:rowOff>161925</xdr:rowOff>
    </xdr:from>
    <xdr:to>
      <xdr:col>7</xdr:col>
      <xdr:colOff>476250</xdr:colOff>
      <xdr:row>29</xdr:row>
      <xdr:rowOff>95250</xdr:rowOff>
    </xdr:to>
    <xdr:pic>
      <xdr:nvPicPr>
        <xdr:cNvPr id="14" name="CheckBox19"/>
        <xdr:cNvPicPr preferRelativeResize="1">
          <a:picLocks noChangeAspect="1"/>
        </xdr:cNvPicPr>
      </xdr:nvPicPr>
      <xdr:blipFill>
        <a:blip r:embed="rId5"/>
        <a:stretch>
          <a:fillRect/>
        </a:stretch>
      </xdr:blipFill>
      <xdr:spPr>
        <a:xfrm>
          <a:off x="5105400" y="4352925"/>
          <a:ext cx="247650" cy="180975"/>
        </a:xfrm>
        <a:prstGeom prst="rect">
          <a:avLst/>
        </a:prstGeom>
        <a:noFill/>
        <a:ln w="9525" cmpd="sng">
          <a:noFill/>
        </a:ln>
      </xdr:spPr>
    </xdr:pic>
    <xdr:clientData/>
  </xdr:twoCellAnchor>
  <xdr:twoCellAnchor editAs="oneCell">
    <xdr:from>
      <xdr:col>3</xdr:col>
      <xdr:colOff>95250</xdr:colOff>
      <xdr:row>32</xdr:row>
      <xdr:rowOff>114300</xdr:rowOff>
    </xdr:from>
    <xdr:to>
      <xdr:col>4</xdr:col>
      <xdr:colOff>466725</xdr:colOff>
      <xdr:row>34</xdr:row>
      <xdr:rowOff>57150</xdr:rowOff>
    </xdr:to>
    <xdr:pic>
      <xdr:nvPicPr>
        <xdr:cNvPr id="15" name="CommandButton3"/>
        <xdr:cNvPicPr preferRelativeResize="1">
          <a:picLocks noChangeAspect="1"/>
        </xdr:cNvPicPr>
      </xdr:nvPicPr>
      <xdr:blipFill>
        <a:blip r:embed="rId7"/>
        <a:stretch>
          <a:fillRect/>
        </a:stretch>
      </xdr:blipFill>
      <xdr:spPr>
        <a:xfrm>
          <a:off x="2457450" y="5019675"/>
          <a:ext cx="1057275" cy="266700"/>
        </a:xfrm>
        <a:prstGeom prst="rect">
          <a:avLst/>
        </a:prstGeom>
        <a:noFill/>
        <a:ln w="9525" cmpd="sng">
          <a:noFill/>
        </a:ln>
      </xdr:spPr>
    </xdr:pic>
    <xdr:clientData fLocksWithSheet="0"/>
  </xdr:twoCellAnchor>
  <xdr:twoCellAnchor editAs="oneCell">
    <xdr:from>
      <xdr:col>5</xdr:col>
      <xdr:colOff>152400</xdr:colOff>
      <xdr:row>32</xdr:row>
      <xdr:rowOff>114300</xdr:rowOff>
    </xdr:from>
    <xdr:to>
      <xdr:col>6</xdr:col>
      <xdr:colOff>600075</xdr:colOff>
      <xdr:row>34</xdr:row>
      <xdr:rowOff>57150</xdr:rowOff>
    </xdr:to>
    <xdr:pic>
      <xdr:nvPicPr>
        <xdr:cNvPr id="16" name="CommandButton4"/>
        <xdr:cNvPicPr preferRelativeResize="1">
          <a:picLocks noChangeAspect="1"/>
        </xdr:cNvPicPr>
      </xdr:nvPicPr>
      <xdr:blipFill>
        <a:blip r:embed="rId8"/>
        <a:stretch>
          <a:fillRect/>
        </a:stretch>
      </xdr:blipFill>
      <xdr:spPr>
        <a:xfrm>
          <a:off x="3810000" y="5019675"/>
          <a:ext cx="1057275" cy="266700"/>
        </a:xfrm>
        <a:prstGeom prst="rect">
          <a:avLst/>
        </a:prstGeom>
        <a:noFill/>
        <a:ln w="9525" cmpd="sng">
          <a:noFill/>
        </a:ln>
      </xdr:spPr>
    </xdr:pic>
    <xdr:clientData fLocksWithSheet="0"/>
  </xdr:twoCellAnchor>
  <xdr:twoCellAnchor editAs="oneCell">
    <xdr:from>
      <xdr:col>6</xdr:col>
      <xdr:colOff>219075</xdr:colOff>
      <xdr:row>20</xdr:row>
      <xdr:rowOff>171450</xdr:rowOff>
    </xdr:from>
    <xdr:to>
      <xdr:col>6</xdr:col>
      <xdr:colOff>466725</xdr:colOff>
      <xdr:row>21</xdr:row>
      <xdr:rowOff>66675</xdr:rowOff>
    </xdr:to>
    <xdr:pic>
      <xdr:nvPicPr>
        <xdr:cNvPr id="17" name="CheckBox2"/>
        <xdr:cNvPicPr preferRelativeResize="1">
          <a:picLocks noChangeAspect="1"/>
        </xdr:cNvPicPr>
      </xdr:nvPicPr>
      <xdr:blipFill>
        <a:blip r:embed="rId6"/>
        <a:stretch>
          <a:fillRect/>
        </a:stretch>
      </xdr:blipFill>
      <xdr:spPr>
        <a:xfrm>
          <a:off x="4486275" y="3667125"/>
          <a:ext cx="247650" cy="171450"/>
        </a:xfrm>
        <a:prstGeom prst="rect">
          <a:avLst/>
        </a:prstGeom>
        <a:noFill/>
        <a:ln w="9525" cmpd="sng">
          <a:noFill/>
        </a:ln>
      </xdr:spPr>
    </xdr:pic>
    <xdr:clientData/>
  </xdr:twoCellAnchor>
  <xdr:twoCellAnchor editAs="oneCell">
    <xdr:from>
      <xdr:col>7</xdr:col>
      <xdr:colOff>209550</xdr:colOff>
      <xdr:row>20</xdr:row>
      <xdr:rowOff>171450</xdr:rowOff>
    </xdr:from>
    <xdr:to>
      <xdr:col>7</xdr:col>
      <xdr:colOff>457200</xdr:colOff>
      <xdr:row>21</xdr:row>
      <xdr:rowOff>66675</xdr:rowOff>
    </xdr:to>
    <xdr:pic>
      <xdr:nvPicPr>
        <xdr:cNvPr id="18" name="CheckBox4"/>
        <xdr:cNvPicPr preferRelativeResize="1">
          <a:picLocks noChangeAspect="1"/>
        </xdr:cNvPicPr>
      </xdr:nvPicPr>
      <xdr:blipFill>
        <a:blip r:embed="rId5"/>
        <a:stretch>
          <a:fillRect/>
        </a:stretch>
      </xdr:blipFill>
      <xdr:spPr>
        <a:xfrm>
          <a:off x="5086350" y="3667125"/>
          <a:ext cx="247650" cy="171450"/>
        </a:xfrm>
        <a:prstGeom prst="rect">
          <a:avLst/>
        </a:prstGeom>
        <a:noFill/>
        <a:ln w="9525" cmpd="sng">
          <a:noFill/>
        </a:ln>
      </xdr:spPr>
    </xdr:pic>
    <xdr:clientData/>
  </xdr:twoCellAnchor>
  <xdr:twoCellAnchor editAs="oneCell">
    <xdr:from>
      <xdr:col>7</xdr:col>
      <xdr:colOff>133350</xdr:colOff>
      <xdr:row>0</xdr:row>
      <xdr:rowOff>57150</xdr:rowOff>
    </xdr:from>
    <xdr:to>
      <xdr:col>9</xdr:col>
      <xdr:colOff>276225</xdr:colOff>
      <xdr:row>0</xdr:row>
      <xdr:rowOff>323850</xdr:rowOff>
    </xdr:to>
    <xdr:pic>
      <xdr:nvPicPr>
        <xdr:cNvPr id="19" name="CommandButton5"/>
        <xdr:cNvPicPr preferRelativeResize="1">
          <a:picLocks noChangeAspect="1"/>
        </xdr:cNvPicPr>
      </xdr:nvPicPr>
      <xdr:blipFill>
        <a:blip r:embed="rId9"/>
        <a:stretch>
          <a:fillRect/>
        </a:stretch>
      </xdr:blipFill>
      <xdr:spPr>
        <a:xfrm>
          <a:off x="5010150" y="57150"/>
          <a:ext cx="1362075" cy="266700"/>
        </a:xfrm>
        <a:prstGeom prst="rect">
          <a:avLst/>
        </a:prstGeom>
        <a:noFill/>
        <a:ln w="9525" cmpd="sng">
          <a:noFill/>
        </a:ln>
      </xdr:spPr>
    </xdr:pic>
    <xdr:clientData fLocksWithSheet="0"/>
  </xdr:twoCellAnchor>
  <xdr:twoCellAnchor editAs="oneCell">
    <xdr:from>
      <xdr:col>7</xdr:col>
      <xdr:colOff>285750</xdr:colOff>
      <xdr:row>32</xdr:row>
      <xdr:rowOff>114300</xdr:rowOff>
    </xdr:from>
    <xdr:to>
      <xdr:col>9</xdr:col>
      <xdr:colOff>428625</xdr:colOff>
      <xdr:row>34</xdr:row>
      <xdr:rowOff>57150</xdr:rowOff>
    </xdr:to>
    <xdr:pic>
      <xdr:nvPicPr>
        <xdr:cNvPr id="20" name="CommandButton6"/>
        <xdr:cNvPicPr preferRelativeResize="1">
          <a:picLocks noChangeAspect="1"/>
        </xdr:cNvPicPr>
      </xdr:nvPicPr>
      <xdr:blipFill>
        <a:blip r:embed="rId10"/>
        <a:stretch>
          <a:fillRect/>
        </a:stretch>
      </xdr:blipFill>
      <xdr:spPr>
        <a:xfrm>
          <a:off x="5162550" y="5019675"/>
          <a:ext cx="1362075" cy="266700"/>
        </a:xfrm>
        <a:prstGeom prst="rect">
          <a:avLst/>
        </a:prstGeom>
        <a:noFill/>
        <a:ln w="9525" cmpd="sng">
          <a:noFill/>
        </a:ln>
      </xdr:spPr>
    </xdr:pic>
    <xdr:clientData fLocksWithSheet="0"/>
  </xdr:twoCellAnchor>
  <xdr:twoCellAnchor>
    <xdr:from>
      <xdr:col>10</xdr:col>
      <xdr:colOff>123825</xdr:colOff>
      <xdr:row>0</xdr:row>
      <xdr:rowOff>0</xdr:rowOff>
    </xdr:from>
    <xdr:to>
      <xdr:col>13</xdr:col>
      <xdr:colOff>714375</xdr:colOff>
      <xdr:row>0</xdr:row>
      <xdr:rowOff>276225</xdr:rowOff>
    </xdr:to>
    <xdr:sp>
      <xdr:nvSpPr>
        <xdr:cNvPr id="21" name="Rectangle 47"/>
        <xdr:cNvSpPr>
          <a:spLocks/>
        </xdr:cNvSpPr>
      </xdr:nvSpPr>
      <xdr:spPr>
        <a:xfrm>
          <a:off x="6829425" y="0"/>
          <a:ext cx="2305050" cy="276225"/>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133350</xdr:colOff>
      <xdr:row>6</xdr:row>
      <xdr:rowOff>95250</xdr:rowOff>
    </xdr:from>
    <xdr:to>
      <xdr:col>9</xdr:col>
      <xdr:colOff>323850</xdr:colOff>
      <xdr:row>7</xdr:row>
      <xdr:rowOff>152400</xdr:rowOff>
    </xdr:to>
    <xdr:pic>
      <xdr:nvPicPr>
        <xdr:cNvPr id="1" name="TextBox2"/>
        <xdr:cNvPicPr preferRelativeResize="1">
          <a:picLocks noChangeAspect="1"/>
        </xdr:cNvPicPr>
      </xdr:nvPicPr>
      <xdr:blipFill>
        <a:blip r:embed="rId1"/>
        <a:stretch>
          <a:fillRect/>
        </a:stretch>
      </xdr:blipFill>
      <xdr:spPr>
        <a:xfrm>
          <a:off x="5457825" y="1524000"/>
          <a:ext cx="800100" cy="219075"/>
        </a:xfrm>
        <a:prstGeom prst="rect">
          <a:avLst/>
        </a:prstGeom>
        <a:noFill/>
        <a:ln w="9525" cmpd="sng">
          <a:noFill/>
        </a:ln>
      </xdr:spPr>
    </xdr:pic>
    <xdr:clientData/>
  </xdr:twoCellAnchor>
  <xdr:twoCellAnchor editAs="oneCell">
    <xdr:from>
      <xdr:col>10</xdr:col>
      <xdr:colOff>0</xdr:colOff>
      <xdr:row>21</xdr:row>
      <xdr:rowOff>0</xdr:rowOff>
    </xdr:from>
    <xdr:to>
      <xdr:col>11</xdr:col>
      <xdr:colOff>19050</xdr:colOff>
      <xdr:row>22</xdr:row>
      <xdr:rowOff>19050</xdr:rowOff>
    </xdr:to>
    <xdr:pic>
      <xdr:nvPicPr>
        <xdr:cNvPr id="2" name="TextBox3"/>
        <xdr:cNvPicPr preferRelativeResize="1">
          <a:picLocks noChangeAspect="1"/>
        </xdr:cNvPicPr>
      </xdr:nvPicPr>
      <xdr:blipFill>
        <a:blip r:embed="rId2"/>
        <a:stretch>
          <a:fillRect/>
        </a:stretch>
      </xdr:blipFill>
      <xdr:spPr>
        <a:xfrm>
          <a:off x="6572250" y="4181475"/>
          <a:ext cx="628650" cy="247650"/>
        </a:xfrm>
        <a:prstGeom prst="rect">
          <a:avLst/>
        </a:prstGeom>
        <a:noFill/>
        <a:ln w="9525" cmpd="sng">
          <a:noFill/>
        </a:ln>
      </xdr:spPr>
    </xdr:pic>
    <xdr:clientData/>
  </xdr:twoCellAnchor>
  <xdr:twoCellAnchor editAs="oneCell">
    <xdr:from>
      <xdr:col>6</xdr:col>
      <xdr:colOff>228600</xdr:colOff>
      <xdr:row>70</xdr:row>
      <xdr:rowOff>257175</xdr:rowOff>
    </xdr:from>
    <xdr:to>
      <xdr:col>6</xdr:col>
      <xdr:colOff>476250</xdr:colOff>
      <xdr:row>71</xdr:row>
      <xdr:rowOff>152400</xdr:rowOff>
    </xdr:to>
    <xdr:pic>
      <xdr:nvPicPr>
        <xdr:cNvPr id="3" name="CheckBox1"/>
        <xdr:cNvPicPr preferRelativeResize="1">
          <a:picLocks noChangeAspect="1"/>
        </xdr:cNvPicPr>
      </xdr:nvPicPr>
      <xdr:blipFill>
        <a:blip r:embed="rId3"/>
        <a:stretch>
          <a:fillRect/>
        </a:stretch>
      </xdr:blipFill>
      <xdr:spPr>
        <a:xfrm>
          <a:off x="4333875" y="15592425"/>
          <a:ext cx="247650" cy="171450"/>
        </a:xfrm>
        <a:prstGeom prst="rect">
          <a:avLst/>
        </a:prstGeom>
        <a:noFill/>
        <a:ln w="9525" cmpd="sng">
          <a:noFill/>
        </a:ln>
      </xdr:spPr>
    </xdr:pic>
    <xdr:clientData/>
  </xdr:twoCellAnchor>
  <xdr:twoCellAnchor editAs="oneCell">
    <xdr:from>
      <xdr:col>7</xdr:col>
      <xdr:colOff>238125</xdr:colOff>
      <xdr:row>70</xdr:row>
      <xdr:rowOff>257175</xdr:rowOff>
    </xdr:from>
    <xdr:to>
      <xdr:col>7</xdr:col>
      <xdr:colOff>485775</xdr:colOff>
      <xdr:row>71</xdr:row>
      <xdr:rowOff>152400</xdr:rowOff>
    </xdr:to>
    <xdr:pic>
      <xdr:nvPicPr>
        <xdr:cNvPr id="4" name="CheckBox2"/>
        <xdr:cNvPicPr preferRelativeResize="1">
          <a:picLocks noChangeAspect="1"/>
        </xdr:cNvPicPr>
      </xdr:nvPicPr>
      <xdr:blipFill>
        <a:blip r:embed="rId4"/>
        <a:stretch>
          <a:fillRect/>
        </a:stretch>
      </xdr:blipFill>
      <xdr:spPr>
        <a:xfrm>
          <a:off x="4953000" y="15592425"/>
          <a:ext cx="247650" cy="171450"/>
        </a:xfrm>
        <a:prstGeom prst="rect">
          <a:avLst/>
        </a:prstGeom>
        <a:noFill/>
        <a:ln w="9525" cmpd="sng">
          <a:noFill/>
        </a:ln>
      </xdr:spPr>
    </xdr:pic>
    <xdr:clientData/>
  </xdr:twoCellAnchor>
  <xdr:twoCellAnchor editAs="oneCell">
    <xdr:from>
      <xdr:col>9</xdr:col>
      <xdr:colOff>200025</xdr:colOff>
      <xdr:row>0</xdr:row>
      <xdr:rowOff>180975</xdr:rowOff>
    </xdr:from>
    <xdr:to>
      <xdr:col>12</xdr:col>
      <xdr:colOff>419100</xdr:colOff>
      <xdr:row>1</xdr:row>
      <xdr:rowOff>85725</xdr:rowOff>
    </xdr:to>
    <xdr:pic>
      <xdr:nvPicPr>
        <xdr:cNvPr id="5" name="CommandButton3"/>
        <xdr:cNvPicPr preferRelativeResize="1">
          <a:picLocks noChangeAspect="1"/>
        </xdr:cNvPicPr>
      </xdr:nvPicPr>
      <xdr:blipFill>
        <a:blip r:embed="rId5"/>
        <a:stretch>
          <a:fillRect/>
        </a:stretch>
      </xdr:blipFill>
      <xdr:spPr>
        <a:xfrm>
          <a:off x="6134100" y="180975"/>
          <a:ext cx="2076450" cy="266700"/>
        </a:xfrm>
        <a:prstGeom prst="rect">
          <a:avLst/>
        </a:prstGeom>
        <a:noFill/>
        <a:ln w="9525" cmpd="sng">
          <a:noFill/>
        </a:ln>
      </xdr:spPr>
    </xdr:pic>
    <xdr:clientData fLocksWithSheet="0"/>
  </xdr:twoCellAnchor>
  <xdr:twoCellAnchor editAs="oneCell">
    <xdr:from>
      <xdr:col>9</xdr:col>
      <xdr:colOff>200025</xdr:colOff>
      <xdr:row>76</xdr:row>
      <xdr:rowOff>114300</xdr:rowOff>
    </xdr:from>
    <xdr:to>
      <xdr:col>12</xdr:col>
      <xdr:colOff>419100</xdr:colOff>
      <xdr:row>78</xdr:row>
      <xdr:rowOff>57150</xdr:rowOff>
    </xdr:to>
    <xdr:pic>
      <xdr:nvPicPr>
        <xdr:cNvPr id="6" name="CommandButton5"/>
        <xdr:cNvPicPr preferRelativeResize="1">
          <a:picLocks noChangeAspect="1"/>
        </xdr:cNvPicPr>
      </xdr:nvPicPr>
      <xdr:blipFill>
        <a:blip r:embed="rId6"/>
        <a:stretch>
          <a:fillRect/>
        </a:stretch>
      </xdr:blipFill>
      <xdr:spPr>
        <a:xfrm>
          <a:off x="6134100" y="16363950"/>
          <a:ext cx="2076450" cy="266700"/>
        </a:xfrm>
        <a:prstGeom prst="rect">
          <a:avLst/>
        </a:prstGeom>
        <a:noFill/>
        <a:ln w="9525" cmpd="sng">
          <a:noFill/>
        </a:ln>
      </xdr:spPr>
    </xdr:pic>
    <xdr:clientData fLocksWithSheet="0"/>
  </xdr:twoCellAnchor>
  <xdr:twoCellAnchor editAs="oneCell">
    <xdr:from>
      <xdr:col>5</xdr:col>
      <xdr:colOff>219075</xdr:colOff>
      <xdr:row>4</xdr:row>
      <xdr:rowOff>123825</xdr:rowOff>
    </xdr:from>
    <xdr:to>
      <xdr:col>6</xdr:col>
      <xdr:colOff>285750</xdr:colOff>
      <xdr:row>6</xdr:row>
      <xdr:rowOff>19050</xdr:rowOff>
    </xdr:to>
    <xdr:pic>
      <xdr:nvPicPr>
        <xdr:cNvPr id="7" name="ComboBox1"/>
        <xdr:cNvPicPr preferRelativeResize="1">
          <a:picLocks noChangeAspect="1"/>
        </xdr:cNvPicPr>
      </xdr:nvPicPr>
      <xdr:blipFill>
        <a:blip r:embed="rId7"/>
        <a:stretch>
          <a:fillRect/>
        </a:stretch>
      </xdr:blipFill>
      <xdr:spPr>
        <a:xfrm>
          <a:off x="3714750" y="1228725"/>
          <a:ext cx="676275" cy="219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209550</xdr:colOff>
      <xdr:row>3</xdr:row>
      <xdr:rowOff>0</xdr:rowOff>
    </xdr:from>
    <xdr:to>
      <xdr:col>12</xdr:col>
      <xdr:colOff>47625</xdr:colOff>
      <xdr:row>4</xdr:row>
      <xdr:rowOff>104775</xdr:rowOff>
    </xdr:to>
    <xdr:pic>
      <xdr:nvPicPr>
        <xdr:cNvPr id="1" name="CommandButton1"/>
        <xdr:cNvPicPr preferRelativeResize="1">
          <a:picLocks noChangeAspect="1"/>
        </xdr:cNvPicPr>
      </xdr:nvPicPr>
      <xdr:blipFill>
        <a:blip r:embed="rId1"/>
        <a:stretch>
          <a:fillRect/>
        </a:stretch>
      </xdr:blipFill>
      <xdr:spPr>
        <a:xfrm>
          <a:off x="2695575" y="619125"/>
          <a:ext cx="1057275" cy="26670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Q85"/>
  <sheetViews>
    <sheetView showRowColHeaders="0" tabSelected="1" defaultGridColor="0" zoomScaleSheetLayoutView="75" colorId="55" workbookViewId="0" topLeftCell="A1">
      <pane ySplit="7" topLeftCell="BD8" activePane="bottomLeft" state="frozen"/>
      <selection pane="topLeft" activeCell="A1" sqref="A1"/>
      <selection pane="bottomLeft" activeCell="A1" sqref="A1"/>
    </sheetView>
  </sheetViews>
  <sheetFormatPr defaultColWidth="11.421875" defaultRowHeight="12.75"/>
  <cols>
    <col min="1" max="1" width="2.00390625" style="260" customWidth="1"/>
    <col min="2" max="2" width="3.140625" style="260" customWidth="1"/>
    <col min="3" max="5" width="9.140625" style="260" customWidth="1"/>
    <col min="6" max="6" width="9.57421875" style="260" customWidth="1"/>
    <col min="7" max="9" width="9.140625" style="260" customWidth="1"/>
    <col min="10" max="10" width="10.00390625" style="260" customWidth="1"/>
    <col min="11" max="15" width="9.140625" style="260" customWidth="1"/>
    <col min="16" max="16" width="12.7109375" style="260" customWidth="1"/>
    <col min="17" max="17" width="2.8515625" style="260" customWidth="1"/>
    <col min="18" max="18" width="13.7109375" style="267" customWidth="1"/>
    <col min="19" max="16384" width="9.140625" style="267" customWidth="1"/>
  </cols>
  <sheetData>
    <row r="1" spans="1:17" ht="4.5" customHeight="1">
      <c r="A1" s="259"/>
      <c r="B1" s="259"/>
      <c r="C1" s="259"/>
      <c r="D1" s="259"/>
      <c r="E1" s="259"/>
      <c r="F1" s="259"/>
      <c r="G1" s="259"/>
      <c r="H1" s="259"/>
      <c r="I1" s="259"/>
      <c r="J1" s="259"/>
      <c r="K1" s="259"/>
      <c r="L1" s="259"/>
      <c r="M1" s="259"/>
      <c r="N1" s="259"/>
      <c r="O1" s="259"/>
      <c r="P1" s="259"/>
      <c r="Q1" s="259"/>
    </row>
    <row r="2" spans="1:17" ht="20.25">
      <c r="A2" s="259"/>
      <c r="B2" s="261" t="s">
        <v>124</v>
      </c>
      <c r="C2" s="262"/>
      <c r="D2" s="259"/>
      <c r="E2" s="259"/>
      <c r="F2" s="259"/>
      <c r="G2" s="263"/>
      <c r="H2" s="259"/>
      <c r="I2" s="259"/>
      <c r="J2" s="259"/>
      <c r="K2" s="259"/>
      <c r="L2" s="259"/>
      <c r="M2" s="259"/>
      <c r="N2" s="259"/>
      <c r="O2" s="259"/>
      <c r="P2" s="259"/>
      <c r="Q2" s="259"/>
    </row>
    <row r="3" spans="1:17" ht="9.75" customHeight="1">
      <c r="A3" s="259"/>
      <c r="B3" s="259"/>
      <c r="C3" s="259"/>
      <c r="D3" s="259"/>
      <c r="E3" s="259"/>
      <c r="F3" s="259"/>
      <c r="G3" s="263"/>
      <c r="H3" s="259"/>
      <c r="I3" s="259"/>
      <c r="J3" s="259"/>
      <c r="K3" s="259"/>
      <c r="L3" s="259"/>
      <c r="M3" s="259"/>
      <c r="N3" s="259"/>
      <c r="O3" s="259"/>
      <c r="P3" s="259"/>
      <c r="Q3" s="259"/>
    </row>
    <row r="4" spans="1:17" ht="12.75">
      <c r="A4" s="259"/>
      <c r="B4" s="259" t="s">
        <v>167</v>
      </c>
      <c r="C4" s="259"/>
      <c r="D4" s="259"/>
      <c r="E4" s="259"/>
      <c r="F4" s="259"/>
      <c r="G4" s="318" t="s">
        <v>248</v>
      </c>
      <c r="H4" s="259"/>
      <c r="I4" s="259"/>
      <c r="J4" s="259"/>
      <c r="K4" s="259"/>
      <c r="L4" s="259"/>
      <c r="M4" s="259"/>
      <c r="N4" s="259"/>
      <c r="O4" s="259"/>
      <c r="P4" s="259"/>
      <c r="Q4" s="259"/>
    </row>
    <row r="5" spans="1:17" ht="9.75" customHeight="1">
      <c r="A5" s="259"/>
      <c r="B5" s="264"/>
      <c r="C5" s="259"/>
      <c r="D5" s="259"/>
      <c r="E5" s="259"/>
      <c r="F5" s="259"/>
      <c r="G5" s="263"/>
      <c r="H5" s="259"/>
      <c r="I5" s="259"/>
      <c r="J5" s="259"/>
      <c r="K5" s="259"/>
      <c r="L5" s="259"/>
      <c r="M5" s="259"/>
      <c r="N5" s="259"/>
      <c r="O5" s="259"/>
      <c r="P5" s="259"/>
      <c r="Q5" s="259"/>
    </row>
    <row r="6" spans="1:17" ht="12.75">
      <c r="A6" s="259"/>
      <c r="B6" s="259" t="s">
        <v>221</v>
      </c>
      <c r="C6" s="259"/>
      <c r="D6" s="259"/>
      <c r="E6" s="259"/>
      <c r="F6" s="259"/>
      <c r="G6" s="263"/>
      <c r="H6" s="259"/>
      <c r="I6" s="259"/>
      <c r="J6" s="259" t="s">
        <v>245</v>
      </c>
      <c r="K6" s="259"/>
      <c r="L6" s="259"/>
      <c r="M6" s="259"/>
      <c r="N6" s="319" t="s">
        <v>249</v>
      </c>
      <c r="O6" s="259"/>
      <c r="P6" s="259"/>
      <c r="Q6" s="259"/>
    </row>
    <row r="7" spans="1:17" ht="8.25" customHeight="1">
      <c r="A7" s="259"/>
      <c r="B7" s="264"/>
      <c r="C7" s="259"/>
      <c r="D7" s="259"/>
      <c r="E7" s="259"/>
      <c r="F7" s="259"/>
      <c r="G7" s="263"/>
      <c r="H7" s="259"/>
      <c r="I7" s="259"/>
      <c r="J7" s="259"/>
      <c r="K7" s="259"/>
      <c r="L7" s="259"/>
      <c r="M7" s="259"/>
      <c r="N7" s="259"/>
      <c r="O7" s="259"/>
      <c r="P7" s="259"/>
      <c r="Q7" s="259"/>
    </row>
    <row r="8" spans="2:10" ht="15" customHeight="1">
      <c r="B8" s="265"/>
      <c r="G8" s="266"/>
      <c r="H8" s="267"/>
      <c r="I8" s="267"/>
      <c r="J8" s="267"/>
    </row>
    <row r="9" spans="1:17" ht="19.5" customHeight="1">
      <c r="A9" s="268"/>
      <c r="B9" s="269" t="s">
        <v>125</v>
      </c>
      <c r="C9" s="268"/>
      <c r="D9" s="268"/>
      <c r="E9" s="268"/>
      <c r="F9" s="268"/>
      <c r="G9" s="270"/>
      <c r="H9" s="268"/>
      <c r="I9" s="268"/>
      <c r="J9" s="268"/>
      <c r="K9" s="268"/>
      <c r="L9" s="268"/>
      <c r="M9" s="268"/>
      <c r="N9" s="268"/>
      <c r="O9" s="268"/>
      <c r="P9" s="268"/>
      <c r="Q9" s="268"/>
    </row>
    <row r="10" spans="1:17" ht="12.75">
      <c r="A10" s="268"/>
      <c r="B10" s="271"/>
      <c r="C10" s="268"/>
      <c r="D10" s="268"/>
      <c r="E10" s="268"/>
      <c r="F10" s="268"/>
      <c r="G10" s="268"/>
      <c r="H10" s="268"/>
      <c r="I10" s="268"/>
      <c r="J10" s="268"/>
      <c r="K10" s="268"/>
      <c r="L10" s="268"/>
      <c r="M10" s="268"/>
      <c r="N10" s="268"/>
      <c r="O10" s="268"/>
      <c r="P10" s="268"/>
      <c r="Q10" s="268"/>
    </row>
    <row r="11" spans="1:17" ht="12.75">
      <c r="A11" s="268"/>
      <c r="B11" s="271" t="s">
        <v>15</v>
      </c>
      <c r="C11" s="268" t="s">
        <v>219</v>
      </c>
      <c r="D11" s="268"/>
      <c r="E11" s="268"/>
      <c r="F11" s="268"/>
      <c r="G11" s="268"/>
      <c r="H11" s="268"/>
      <c r="I11" s="268"/>
      <c r="J11" s="268"/>
      <c r="K11" s="268"/>
      <c r="L11" s="268"/>
      <c r="M11" s="268"/>
      <c r="N11" s="268"/>
      <c r="O11" s="268"/>
      <c r="P11" s="268"/>
      <c r="Q11" s="268"/>
    </row>
    <row r="12" spans="1:17" ht="12.75">
      <c r="A12" s="268"/>
      <c r="B12" s="271"/>
      <c r="C12" s="268"/>
      <c r="D12" s="268"/>
      <c r="E12" s="268"/>
      <c r="F12" s="268"/>
      <c r="G12" s="268"/>
      <c r="H12" s="268"/>
      <c r="I12" s="268"/>
      <c r="J12" s="268"/>
      <c r="K12" s="268"/>
      <c r="L12" s="268"/>
      <c r="M12" s="268"/>
      <c r="N12" s="268"/>
      <c r="O12" s="268"/>
      <c r="P12" s="268"/>
      <c r="Q12" s="268"/>
    </row>
    <row r="13" spans="1:17" ht="12.75">
      <c r="A13" s="268"/>
      <c r="B13" s="268" t="s">
        <v>16</v>
      </c>
      <c r="C13" s="268" t="s">
        <v>220</v>
      </c>
      <c r="D13" s="268"/>
      <c r="E13" s="268"/>
      <c r="F13" s="268"/>
      <c r="G13" s="268"/>
      <c r="H13" s="268"/>
      <c r="I13" s="268"/>
      <c r="J13" s="268"/>
      <c r="K13" s="268"/>
      <c r="L13" s="268"/>
      <c r="M13" s="268"/>
      <c r="N13" s="268"/>
      <c r="O13" s="268"/>
      <c r="P13" s="268"/>
      <c r="Q13" s="268"/>
    </row>
    <row r="14" spans="1:17" ht="12.75">
      <c r="A14" s="268"/>
      <c r="B14" s="271"/>
      <c r="C14" s="268"/>
      <c r="D14" s="268"/>
      <c r="E14" s="268"/>
      <c r="F14" s="268"/>
      <c r="G14" s="268"/>
      <c r="H14" s="268"/>
      <c r="I14" s="268"/>
      <c r="J14" s="268"/>
      <c r="K14" s="268"/>
      <c r="L14" s="268"/>
      <c r="M14" s="268"/>
      <c r="N14" s="268"/>
      <c r="O14" s="268"/>
      <c r="P14" s="268"/>
      <c r="Q14" s="268"/>
    </row>
    <row r="15" spans="1:17" ht="12.75">
      <c r="A15" s="268"/>
      <c r="B15" s="271" t="s">
        <v>17</v>
      </c>
      <c r="C15" s="268" t="s">
        <v>147</v>
      </c>
      <c r="D15" s="268"/>
      <c r="E15" s="268"/>
      <c r="F15" s="268"/>
      <c r="G15" s="268"/>
      <c r="H15" s="268"/>
      <c r="I15" s="268"/>
      <c r="J15" s="268"/>
      <c r="K15" s="268"/>
      <c r="L15" s="268"/>
      <c r="M15" s="268"/>
      <c r="N15" s="268"/>
      <c r="O15" s="268"/>
      <c r="P15" s="268"/>
      <c r="Q15" s="268"/>
    </row>
    <row r="16" spans="1:17" ht="12.75">
      <c r="A16" s="268"/>
      <c r="B16" s="271"/>
      <c r="C16" s="268"/>
      <c r="D16" s="268"/>
      <c r="E16" s="268"/>
      <c r="F16" s="268"/>
      <c r="G16" s="268"/>
      <c r="H16" s="268"/>
      <c r="I16" s="268"/>
      <c r="J16" s="268"/>
      <c r="K16" s="268"/>
      <c r="L16" s="268"/>
      <c r="M16" s="268"/>
      <c r="N16" s="268"/>
      <c r="O16" s="268"/>
      <c r="P16" s="268"/>
      <c r="Q16" s="268"/>
    </row>
    <row r="17" spans="1:17" ht="12.75">
      <c r="A17" s="268"/>
      <c r="B17" s="271" t="s">
        <v>18</v>
      </c>
      <c r="C17" s="268" t="s">
        <v>148</v>
      </c>
      <c r="D17" s="268"/>
      <c r="E17" s="268"/>
      <c r="F17" s="268"/>
      <c r="G17" s="268"/>
      <c r="H17" s="268"/>
      <c r="I17" s="421" t="str">
        <f>+IF(Selections!C14="Rural","Population &lt; 10,000",IF(Selections!C14="","","Population &gt;= 10,000"))</f>
        <v>Population &gt;= 10,000</v>
      </c>
      <c r="J17" s="421"/>
      <c r="K17" s="272" t="str">
        <f>+IF(I17="","","AND")</f>
        <v>AND</v>
      </c>
      <c r="L17" s="273" t="str">
        <f>+IF(Selections!C14="Rural","Speed &gt;=  70 km/hr",IF(Selections!C14="","","Speed &lt; 70 km/hr"))</f>
        <v>Speed &lt; 70 km/hr</v>
      </c>
      <c r="M17" s="273"/>
      <c r="N17" s="268"/>
      <c r="O17" s="268"/>
      <c r="P17" s="268"/>
      <c r="Q17" s="268"/>
    </row>
    <row r="18" spans="1:17" ht="12.75">
      <c r="A18" s="268"/>
      <c r="B18" s="268"/>
      <c r="C18" s="268"/>
      <c r="D18" s="268"/>
      <c r="E18" s="268"/>
      <c r="F18" s="268"/>
      <c r="G18" s="268"/>
      <c r="H18" s="268"/>
      <c r="I18" s="268"/>
      <c r="J18" s="268"/>
      <c r="K18" s="268"/>
      <c r="L18" s="268"/>
      <c r="M18" s="268"/>
      <c r="N18" s="268"/>
      <c r="O18" s="268"/>
      <c r="P18" s="268"/>
      <c r="Q18" s="268"/>
    </row>
    <row r="19" spans="1:17" ht="12.75">
      <c r="A19" s="268"/>
      <c r="B19" s="268" t="s">
        <v>144</v>
      </c>
      <c r="C19" s="268" t="s">
        <v>168</v>
      </c>
      <c r="D19" s="268"/>
      <c r="E19" s="268"/>
      <c r="F19" s="268"/>
      <c r="G19" s="268"/>
      <c r="H19" s="268"/>
      <c r="I19" s="268"/>
      <c r="J19" s="268"/>
      <c r="K19" s="268"/>
      <c r="L19" s="268"/>
      <c r="M19" s="268"/>
      <c r="N19" s="268"/>
      <c r="O19" s="268"/>
      <c r="P19" s="268"/>
      <c r="Q19" s="268"/>
    </row>
    <row r="20" spans="1:17" ht="12.75">
      <c r="A20" s="268"/>
      <c r="B20" s="268"/>
      <c r="C20" s="268"/>
      <c r="D20" s="268"/>
      <c r="E20" s="268"/>
      <c r="F20" s="268"/>
      <c r="G20" s="268"/>
      <c r="H20" s="268"/>
      <c r="I20" s="268"/>
      <c r="J20" s="268"/>
      <c r="K20" s="268"/>
      <c r="L20" s="268"/>
      <c r="M20" s="268"/>
      <c r="N20" s="268"/>
      <c r="O20" s="268"/>
      <c r="P20" s="268"/>
      <c r="Q20" s="268"/>
    </row>
    <row r="21" spans="1:17" s="278" customFormat="1" ht="17.25" customHeight="1">
      <c r="A21" s="274"/>
      <c r="B21" s="359" t="s">
        <v>5</v>
      </c>
      <c r="C21" s="360"/>
      <c r="D21" s="359" t="str">
        <f>+IF(Selections!$B$2="","",IF(Selections!$B$2="North-South","Main Northbound Approach","Main Eastbound Approach"))</f>
        <v>Main Eastbound Approach</v>
      </c>
      <c r="E21" s="381"/>
      <c r="F21" s="382"/>
      <c r="G21" s="359" t="str">
        <f>+IF(Selections!$B$2="","",IF(Selections!$B$2="North-South","Minor Eastbound Approach","Minor Northbound Approach"))</f>
        <v>Minor Northbound Approach</v>
      </c>
      <c r="H21" s="381"/>
      <c r="I21" s="382"/>
      <c r="J21" s="359" t="str">
        <f>+IF(Selections!$B$2="","",IF(Selections!$B$2="North-South","Main Southbound Approach","Main Westbound Approach"))</f>
        <v>Main Westbound Approach</v>
      </c>
      <c r="K21" s="381"/>
      <c r="L21" s="382"/>
      <c r="M21" s="354" t="str">
        <f>+IF(Selections!$B$2="","",IF(Selections!$B$2="North-South","Minor Westbound Approach","Minor Southbound Approach"))</f>
        <v>Minor Southbound Approach</v>
      </c>
      <c r="N21" s="351"/>
      <c r="O21" s="352"/>
      <c r="P21" s="375" t="s">
        <v>223</v>
      </c>
      <c r="Q21" s="274"/>
    </row>
    <row r="22" spans="1:17" s="278" customFormat="1" ht="17.25" customHeight="1">
      <c r="A22" s="274"/>
      <c r="B22" s="377"/>
      <c r="C22" s="378"/>
      <c r="D22" s="275" t="s">
        <v>0</v>
      </c>
      <c r="E22" s="276" t="s">
        <v>1</v>
      </c>
      <c r="F22" s="277" t="s">
        <v>2</v>
      </c>
      <c r="G22" s="275" t="s">
        <v>0</v>
      </c>
      <c r="H22" s="276" t="s">
        <v>1</v>
      </c>
      <c r="I22" s="277" t="s">
        <v>2</v>
      </c>
      <c r="J22" s="275" t="s">
        <v>0</v>
      </c>
      <c r="K22" s="276" t="s">
        <v>1</v>
      </c>
      <c r="L22" s="277" t="s">
        <v>2</v>
      </c>
      <c r="M22" s="275" t="s">
        <v>0</v>
      </c>
      <c r="N22" s="276" t="s">
        <v>1</v>
      </c>
      <c r="O22" s="277" t="s">
        <v>2</v>
      </c>
      <c r="P22" s="376"/>
      <c r="Q22" s="274"/>
    </row>
    <row r="23" spans="1:17" s="278" customFormat="1" ht="12.75" customHeight="1">
      <c r="A23" s="274"/>
      <c r="B23" s="379">
        <v>0.2916666666666667</v>
      </c>
      <c r="C23" s="380"/>
      <c r="D23" s="327">
        <v>0</v>
      </c>
      <c r="E23" s="328">
        <v>4000</v>
      </c>
      <c r="F23" s="329">
        <v>0</v>
      </c>
      <c r="G23" s="327">
        <v>50</v>
      </c>
      <c r="H23" s="328">
        <v>500</v>
      </c>
      <c r="I23" s="329"/>
      <c r="J23" s="327">
        <v>100</v>
      </c>
      <c r="K23" s="328">
        <v>1000</v>
      </c>
      <c r="L23" s="327">
        <v>100</v>
      </c>
      <c r="M23" s="327"/>
      <c r="N23" s="328">
        <v>500</v>
      </c>
      <c r="O23" s="329">
        <v>50</v>
      </c>
      <c r="P23" s="330">
        <v>200</v>
      </c>
      <c r="Q23" s="274"/>
    </row>
    <row r="24" spans="1:17" s="278" customFormat="1" ht="12.75" customHeight="1">
      <c r="A24" s="274"/>
      <c r="B24" s="355">
        <v>0.3333333333333333</v>
      </c>
      <c r="C24" s="356"/>
      <c r="D24" s="327">
        <v>0</v>
      </c>
      <c r="E24" s="328">
        <v>3999</v>
      </c>
      <c r="F24" s="329">
        <v>0</v>
      </c>
      <c r="G24" s="327">
        <v>50</v>
      </c>
      <c r="H24" s="328">
        <v>500</v>
      </c>
      <c r="I24" s="329"/>
      <c r="J24" s="327">
        <v>100</v>
      </c>
      <c r="K24" s="328">
        <v>1000</v>
      </c>
      <c r="L24" s="327">
        <v>100</v>
      </c>
      <c r="M24" s="327"/>
      <c r="N24" s="328">
        <v>500</v>
      </c>
      <c r="O24" s="329">
        <v>50</v>
      </c>
      <c r="P24" s="330">
        <v>200</v>
      </c>
      <c r="Q24" s="274"/>
    </row>
    <row r="25" spans="1:17" s="278" customFormat="1" ht="12.75" customHeight="1">
      <c r="A25" s="274"/>
      <c r="B25" s="355">
        <v>0.375</v>
      </c>
      <c r="C25" s="356"/>
      <c r="D25" s="327">
        <v>0</v>
      </c>
      <c r="E25" s="328">
        <v>0</v>
      </c>
      <c r="F25" s="329">
        <v>0</v>
      </c>
      <c r="G25" s="327">
        <v>50</v>
      </c>
      <c r="H25" s="328">
        <v>500</v>
      </c>
      <c r="I25" s="329"/>
      <c r="J25" s="327">
        <v>100</v>
      </c>
      <c r="K25" s="328">
        <v>1000</v>
      </c>
      <c r="L25" s="327">
        <v>100</v>
      </c>
      <c r="M25" s="327"/>
      <c r="N25" s="328">
        <v>500</v>
      </c>
      <c r="O25" s="329">
        <v>50</v>
      </c>
      <c r="P25" s="330">
        <v>200</v>
      </c>
      <c r="Q25" s="274"/>
    </row>
    <row r="26" spans="1:17" s="278" customFormat="1" ht="12.75" customHeight="1">
      <c r="A26" s="274"/>
      <c r="B26" s="355">
        <v>0.5</v>
      </c>
      <c r="C26" s="356"/>
      <c r="D26" s="327">
        <v>0</v>
      </c>
      <c r="E26" s="328">
        <v>0</v>
      </c>
      <c r="F26" s="329">
        <v>0</v>
      </c>
      <c r="G26" s="327">
        <v>50</v>
      </c>
      <c r="H26" s="328">
        <v>500</v>
      </c>
      <c r="I26" s="329"/>
      <c r="J26" s="327">
        <v>100</v>
      </c>
      <c r="K26" s="328">
        <v>1000</v>
      </c>
      <c r="L26" s="327">
        <v>100</v>
      </c>
      <c r="M26" s="327"/>
      <c r="N26" s="328">
        <v>500</v>
      </c>
      <c r="O26" s="329">
        <v>50</v>
      </c>
      <c r="P26" s="330">
        <v>200</v>
      </c>
      <c r="Q26" s="274"/>
    </row>
    <row r="27" spans="1:17" s="278" customFormat="1" ht="12.75" customHeight="1">
      <c r="A27" s="274"/>
      <c r="B27" s="355">
        <v>0.5416666666666666</v>
      </c>
      <c r="C27" s="356"/>
      <c r="D27" s="327">
        <v>0</v>
      </c>
      <c r="E27" s="328">
        <v>0</v>
      </c>
      <c r="F27" s="329">
        <v>0</v>
      </c>
      <c r="G27" s="327">
        <v>50</v>
      </c>
      <c r="H27" s="328">
        <v>500</v>
      </c>
      <c r="I27" s="329"/>
      <c r="J27" s="327">
        <v>100</v>
      </c>
      <c r="K27" s="328">
        <v>1000</v>
      </c>
      <c r="L27" s="327">
        <v>100</v>
      </c>
      <c r="M27" s="327"/>
      <c r="N27" s="328">
        <v>500</v>
      </c>
      <c r="O27" s="329">
        <v>50</v>
      </c>
      <c r="P27" s="330">
        <v>200</v>
      </c>
      <c r="Q27" s="274"/>
    </row>
    <row r="28" spans="1:17" s="278" customFormat="1" ht="12.75" customHeight="1">
      <c r="A28" s="274"/>
      <c r="B28" s="355">
        <v>0.6666666666666666</v>
      </c>
      <c r="C28" s="356"/>
      <c r="D28" s="327">
        <v>0</v>
      </c>
      <c r="E28" s="328">
        <v>0</v>
      </c>
      <c r="F28" s="329">
        <v>0</v>
      </c>
      <c r="G28" s="327">
        <v>50</v>
      </c>
      <c r="H28" s="328">
        <v>500</v>
      </c>
      <c r="I28" s="329"/>
      <c r="J28" s="327">
        <v>100</v>
      </c>
      <c r="K28" s="328">
        <v>1000</v>
      </c>
      <c r="L28" s="327">
        <v>100</v>
      </c>
      <c r="M28" s="327"/>
      <c r="N28" s="328">
        <v>500</v>
      </c>
      <c r="O28" s="329">
        <v>50</v>
      </c>
      <c r="P28" s="330">
        <v>200</v>
      </c>
      <c r="Q28" s="274"/>
    </row>
    <row r="29" spans="1:17" s="278" customFormat="1" ht="12.75" customHeight="1">
      <c r="A29" s="274"/>
      <c r="B29" s="355">
        <v>0.7083333333333334</v>
      </c>
      <c r="C29" s="356"/>
      <c r="D29" s="327">
        <v>0</v>
      </c>
      <c r="E29" s="328">
        <v>0</v>
      </c>
      <c r="F29" s="329">
        <v>0</v>
      </c>
      <c r="G29" s="327">
        <v>50</v>
      </c>
      <c r="H29" s="328">
        <v>500</v>
      </c>
      <c r="I29" s="329"/>
      <c r="J29" s="327">
        <v>100</v>
      </c>
      <c r="K29" s="328">
        <v>1000</v>
      </c>
      <c r="L29" s="327">
        <v>100</v>
      </c>
      <c r="M29" s="327"/>
      <c r="N29" s="328">
        <v>500</v>
      </c>
      <c r="O29" s="329">
        <v>50</v>
      </c>
      <c r="P29" s="330">
        <v>200</v>
      </c>
      <c r="Q29" s="274"/>
    </row>
    <row r="30" spans="1:17" s="278" customFormat="1" ht="12.75" customHeight="1">
      <c r="A30" s="274"/>
      <c r="B30" s="383">
        <v>0.75</v>
      </c>
      <c r="C30" s="384"/>
      <c r="D30" s="327">
        <v>0</v>
      </c>
      <c r="E30" s="328">
        <v>0</v>
      </c>
      <c r="F30" s="329">
        <v>0</v>
      </c>
      <c r="G30" s="327">
        <v>50</v>
      </c>
      <c r="H30" s="328">
        <v>500</v>
      </c>
      <c r="I30" s="329"/>
      <c r="J30" s="327">
        <v>100</v>
      </c>
      <c r="K30" s="328">
        <v>1000</v>
      </c>
      <c r="L30" s="327">
        <v>100</v>
      </c>
      <c r="M30" s="327"/>
      <c r="N30" s="328">
        <v>500</v>
      </c>
      <c r="O30" s="329">
        <v>50</v>
      </c>
      <c r="P30" s="330">
        <v>200</v>
      </c>
      <c r="Q30" s="274"/>
    </row>
    <row r="31" spans="1:17" s="307" customFormat="1" ht="12">
      <c r="A31" s="279"/>
      <c r="B31" s="365" t="s">
        <v>76</v>
      </c>
      <c r="C31" s="366"/>
      <c r="D31" s="331">
        <f>SUM(D23:D30)</f>
        <v>0</v>
      </c>
      <c r="E31" s="332">
        <f aca="true" t="shared" si="0" ref="E31:P31">SUM(E23:E30)</f>
        <v>7999</v>
      </c>
      <c r="F31" s="333">
        <f t="shared" si="0"/>
        <v>0</v>
      </c>
      <c r="G31" s="331">
        <f t="shared" si="0"/>
        <v>400</v>
      </c>
      <c r="H31" s="332">
        <f t="shared" si="0"/>
        <v>4000</v>
      </c>
      <c r="I31" s="333">
        <f t="shared" si="0"/>
        <v>0</v>
      </c>
      <c r="J31" s="331">
        <f t="shared" si="0"/>
        <v>800</v>
      </c>
      <c r="K31" s="332">
        <f t="shared" si="0"/>
        <v>8000</v>
      </c>
      <c r="L31" s="333">
        <f t="shared" si="0"/>
        <v>800</v>
      </c>
      <c r="M31" s="331">
        <f t="shared" si="0"/>
        <v>0</v>
      </c>
      <c r="N31" s="332">
        <f t="shared" si="0"/>
        <v>4000</v>
      </c>
      <c r="O31" s="333">
        <f t="shared" si="0"/>
        <v>400</v>
      </c>
      <c r="P31" s="334">
        <f t="shared" si="0"/>
        <v>1600</v>
      </c>
      <c r="Q31" s="279"/>
    </row>
    <row r="32" spans="1:17" ht="12.75">
      <c r="A32" s="268"/>
      <c r="B32" s="268"/>
      <c r="C32" s="268"/>
      <c r="D32" s="268"/>
      <c r="E32" s="268"/>
      <c r="F32" s="268"/>
      <c r="G32" s="268"/>
      <c r="H32" s="268"/>
      <c r="I32" s="268"/>
      <c r="J32" s="268"/>
      <c r="K32" s="268"/>
      <c r="L32" s="268"/>
      <c r="M32" s="268"/>
      <c r="N32" s="268"/>
      <c r="O32" s="268"/>
      <c r="P32" s="268"/>
      <c r="Q32" s="268"/>
    </row>
    <row r="33" spans="1:17" ht="12.75">
      <c r="A33" s="268"/>
      <c r="B33" s="268"/>
      <c r="C33" s="268"/>
      <c r="D33" s="268"/>
      <c r="E33" s="268"/>
      <c r="F33" s="268"/>
      <c r="G33" s="306"/>
      <c r="H33" s="268"/>
      <c r="I33" s="268"/>
      <c r="J33" s="268"/>
      <c r="K33" s="268"/>
      <c r="L33" s="268"/>
      <c r="M33" s="268"/>
      <c r="N33" s="268"/>
      <c r="O33" s="304">
        <f>+IF(AND(Selections!B10="3",OR(AND(G31&gt;0,M31&gt;0),AND(H31&gt;0,N31&gt;0),AND(I31&gt;0,O31&gt;0))),"For a three leg intersection, both minor street approaches cannot have volume entries","")</f>
      </c>
      <c r="P33" s="268"/>
      <c r="Q33" s="268"/>
    </row>
    <row r="34" spans="1:17" ht="12.75">
      <c r="A34" s="268"/>
      <c r="B34" s="268"/>
      <c r="C34" s="268"/>
      <c r="D34" s="268"/>
      <c r="E34" s="268"/>
      <c r="F34" s="268"/>
      <c r="G34" s="268"/>
      <c r="H34" s="268"/>
      <c r="I34" s="268"/>
      <c r="J34" s="268"/>
      <c r="K34" s="268"/>
      <c r="L34" s="268"/>
      <c r="M34" s="268"/>
      <c r="N34" s="268"/>
      <c r="O34" s="268"/>
      <c r="P34" s="268"/>
      <c r="Q34" s="268"/>
    </row>
    <row r="35" ht="15" customHeight="1"/>
    <row r="36" spans="1:17" s="308" customFormat="1" ht="19.5" customHeight="1">
      <c r="A36" s="280"/>
      <c r="B36" s="281" t="s">
        <v>173</v>
      </c>
      <c r="C36" s="280"/>
      <c r="D36" s="280"/>
      <c r="E36" s="280"/>
      <c r="F36" s="280"/>
      <c r="G36" s="280"/>
      <c r="H36" s="280"/>
      <c r="I36" s="280"/>
      <c r="J36" s="280"/>
      <c r="K36" s="280"/>
      <c r="L36" s="280"/>
      <c r="M36" s="280"/>
      <c r="N36" s="280"/>
      <c r="O36" s="280"/>
      <c r="P36" s="280"/>
      <c r="Q36" s="280"/>
    </row>
    <row r="37" spans="1:17" s="308" customFormat="1" ht="12.75">
      <c r="A37" s="280"/>
      <c r="B37" s="282"/>
      <c r="C37" s="280"/>
      <c r="D37" s="280"/>
      <c r="E37" s="280"/>
      <c r="F37" s="280"/>
      <c r="G37" s="280"/>
      <c r="H37" s="280"/>
      <c r="I37" s="280"/>
      <c r="J37" s="280"/>
      <c r="K37" s="280"/>
      <c r="L37" s="280"/>
      <c r="M37" s="280"/>
      <c r="N37" s="280"/>
      <c r="O37" s="280"/>
      <c r="P37" s="280"/>
      <c r="Q37" s="280"/>
    </row>
    <row r="38" spans="1:17" s="308" customFormat="1" ht="36" customHeight="1">
      <c r="A38" s="280"/>
      <c r="B38" s="359" t="s">
        <v>199</v>
      </c>
      <c r="C38" s="360"/>
      <c r="D38" s="373" t="s">
        <v>222</v>
      </c>
      <c r="E38" s="374"/>
      <c r="F38" s="280"/>
      <c r="G38" s="280"/>
      <c r="H38" s="280"/>
      <c r="I38" s="280"/>
      <c r="J38" s="280"/>
      <c r="K38" s="280"/>
      <c r="L38" s="280"/>
      <c r="M38" s="280"/>
      <c r="N38" s="280"/>
      <c r="O38" s="280"/>
      <c r="P38" s="280"/>
      <c r="Q38" s="280"/>
    </row>
    <row r="39" spans="1:17" s="308" customFormat="1" ht="12.75">
      <c r="A39" s="280"/>
      <c r="B39" s="361" t="s">
        <v>200</v>
      </c>
      <c r="C39" s="362"/>
      <c r="D39" s="370">
        <v>0</v>
      </c>
      <c r="E39" s="369"/>
      <c r="F39" s="280"/>
      <c r="G39" s="280"/>
      <c r="H39" s="280"/>
      <c r="I39" s="280"/>
      <c r="J39" s="280"/>
      <c r="K39" s="280"/>
      <c r="L39" s="280"/>
      <c r="M39" s="280"/>
      <c r="N39" s="280"/>
      <c r="O39" s="280"/>
      <c r="P39" s="280"/>
      <c r="Q39" s="280"/>
    </row>
    <row r="40" spans="1:17" s="308" customFormat="1" ht="12.75">
      <c r="A40" s="280"/>
      <c r="B40" s="363" t="s">
        <v>201</v>
      </c>
      <c r="C40" s="364"/>
      <c r="D40" s="368">
        <v>0</v>
      </c>
      <c r="E40" s="367"/>
      <c r="F40" s="280"/>
      <c r="G40" s="283" t="s">
        <v>237</v>
      </c>
      <c r="H40" s="280"/>
      <c r="I40" s="280"/>
      <c r="J40" s="280"/>
      <c r="K40" s="280"/>
      <c r="L40" s="280"/>
      <c r="M40" s="280"/>
      <c r="N40" s="280"/>
      <c r="O40" s="280"/>
      <c r="P40" s="280"/>
      <c r="Q40" s="280"/>
    </row>
    <row r="41" spans="1:17" s="308" customFormat="1" ht="12.75">
      <c r="A41" s="280"/>
      <c r="B41" s="371" t="s">
        <v>202</v>
      </c>
      <c r="C41" s="372"/>
      <c r="D41" s="357">
        <v>0</v>
      </c>
      <c r="E41" s="358"/>
      <c r="F41" s="280"/>
      <c r="G41" s="280" t="s">
        <v>238</v>
      </c>
      <c r="H41" s="280"/>
      <c r="I41" s="280"/>
      <c r="J41" s="280"/>
      <c r="K41" s="280"/>
      <c r="L41" s="280"/>
      <c r="M41" s="280"/>
      <c r="N41" s="280"/>
      <c r="O41" s="280"/>
      <c r="P41" s="280"/>
      <c r="Q41" s="280"/>
    </row>
    <row r="42" spans="1:17" s="308" customFormat="1" ht="12.75">
      <c r="A42" s="280"/>
      <c r="B42" s="280"/>
      <c r="C42" s="280"/>
      <c r="D42" s="280"/>
      <c r="E42" s="280"/>
      <c r="F42" s="280"/>
      <c r="G42" s="280"/>
      <c r="H42" s="280"/>
      <c r="I42" s="280"/>
      <c r="J42" s="280"/>
      <c r="K42" s="280"/>
      <c r="L42" s="280"/>
      <c r="M42" s="280"/>
      <c r="N42" s="280"/>
      <c r="O42" s="280"/>
      <c r="P42" s="280"/>
      <c r="Q42" s="280"/>
    </row>
    <row r="43" spans="1:17" s="308" customFormat="1" ht="14.25" customHeight="1" hidden="1">
      <c r="A43" s="280"/>
      <c r="B43" s="390"/>
      <c r="C43" s="390"/>
      <c r="D43" s="390"/>
      <c r="E43" s="388"/>
      <c r="F43" s="388"/>
      <c r="G43" s="388"/>
      <c r="H43" s="388"/>
      <c r="I43" s="388"/>
      <c r="J43" s="388"/>
      <c r="K43" s="388"/>
      <c r="L43" s="388"/>
      <c r="M43" s="45"/>
      <c r="N43" s="280"/>
      <c r="O43" s="280"/>
      <c r="P43" s="280"/>
      <c r="Q43" s="280"/>
    </row>
    <row r="44" spans="1:17" s="308" customFormat="1" ht="27" customHeight="1" hidden="1">
      <c r="A44" s="280"/>
      <c r="B44" s="390"/>
      <c r="C44" s="390"/>
      <c r="D44" s="205"/>
      <c r="E44" s="205"/>
      <c r="F44" s="205"/>
      <c r="G44" s="206"/>
      <c r="H44" s="206"/>
      <c r="I44" s="206"/>
      <c r="J44" s="205"/>
      <c r="K44" s="206"/>
      <c r="L44" s="206"/>
      <c r="M44" s="280"/>
      <c r="N44" s="280"/>
      <c r="O44" s="280"/>
      <c r="P44" s="280"/>
      <c r="Q44" s="280"/>
    </row>
    <row r="45" spans="1:17" s="308" customFormat="1" ht="12.75" hidden="1">
      <c r="A45" s="280"/>
      <c r="B45" s="387"/>
      <c r="C45" s="387"/>
      <c r="D45" s="258"/>
      <c r="E45" s="258"/>
      <c r="F45" s="258"/>
      <c r="G45" s="258"/>
      <c r="H45" s="258"/>
      <c r="I45" s="258"/>
      <c r="J45" s="258"/>
      <c r="K45" s="258"/>
      <c r="L45" s="258"/>
      <c r="M45" s="280"/>
      <c r="N45" s="280"/>
      <c r="O45" s="280"/>
      <c r="P45" s="280"/>
      <c r="Q45" s="280"/>
    </row>
    <row r="46" spans="1:17" s="308" customFormat="1" ht="12.75" hidden="1">
      <c r="A46" s="280"/>
      <c r="B46" s="387"/>
      <c r="C46" s="387"/>
      <c r="D46" s="258"/>
      <c r="E46" s="258"/>
      <c r="F46" s="258"/>
      <c r="G46" s="258"/>
      <c r="H46" s="258"/>
      <c r="I46" s="258"/>
      <c r="J46" s="258"/>
      <c r="K46" s="258"/>
      <c r="L46" s="258"/>
      <c r="M46" s="280"/>
      <c r="N46" s="280"/>
      <c r="O46" s="280"/>
      <c r="P46" s="280"/>
      <c r="Q46" s="280"/>
    </row>
    <row r="47" spans="1:17" s="308" customFormat="1" ht="12.75" hidden="1">
      <c r="A47" s="280"/>
      <c r="B47" s="387"/>
      <c r="C47" s="387"/>
      <c r="D47" s="258"/>
      <c r="E47" s="258"/>
      <c r="F47" s="258"/>
      <c r="G47" s="258"/>
      <c r="H47" s="258"/>
      <c r="I47" s="258"/>
      <c r="J47" s="258"/>
      <c r="K47" s="258"/>
      <c r="L47" s="258"/>
      <c r="M47" s="280"/>
      <c r="N47" s="280"/>
      <c r="O47" s="280"/>
      <c r="P47" s="280"/>
      <c r="Q47" s="280"/>
    </row>
    <row r="48" spans="1:17" s="308" customFormat="1" ht="12.75" hidden="1">
      <c r="A48" s="280"/>
      <c r="B48" s="387"/>
      <c r="C48" s="387"/>
      <c r="D48" s="258"/>
      <c r="E48" s="258"/>
      <c r="F48" s="258"/>
      <c r="G48" s="258"/>
      <c r="H48" s="258"/>
      <c r="I48" s="258"/>
      <c r="J48" s="258"/>
      <c r="K48" s="258"/>
      <c r="L48" s="258"/>
      <c r="M48" s="280"/>
      <c r="N48" s="280"/>
      <c r="O48" s="280"/>
      <c r="P48" s="280"/>
      <c r="Q48" s="280"/>
    </row>
    <row r="49" spans="1:17" s="308" customFormat="1" ht="12.75" hidden="1">
      <c r="A49" s="280"/>
      <c r="B49" s="387"/>
      <c r="C49" s="387"/>
      <c r="D49" s="258"/>
      <c r="E49" s="258"/>
      <c r="F49" s="258"/>
      <c r="G49" s="258"/>
      <c r="H49" s="258"/>
      <c r="I49" s="258"/>
      <c r="J49" s="258"/>
      <c r="K49" s="258"/>
      <c r="L49" s="258"/>
      <c r="M49" s="280"/>
      <c r="N49" s="280"/>
      <c r="O49" s="280"/>
      <c r="P49" s="280"/>
      <c r="Q49" s="280"/>
    </row>
    <row r="50" spans="1:17" s="308" customFormat="1" ht="12.75" customHeight="1" hidden="1">
      <c r="A50" s="280"/>
      <c r="B50" s="280"/>
      <c r="C50" s="280"/>
      <c r="D50" s="280"/>
      <c r="E50" s="280"/>
      <c r="F50" s="280"/>
      <c r="G50" s="280"/>
      <c r="H50" s="280"/>
      <c r="I50" s="280"/>
      <c r="J50" s="280"/>
      <c r="K50" s="280"/>
      <c r="L50" s="280"/>
      <c r="M50" s="280"/>
      <c r="N50" s="280"/>
      <c r="O50" s="280"/>
      <c r="P50" s="280"/>
      <c r="Q50" s="280"/>
    </row>
    <row r="51" spans="1:17" s="308" customFormat="1" ht="12.75" hidden="1">
      <c r="A51" s="280"/>
      <c r="B51" s="389"/>
      <c r="C51" s="353"/>
      <c r="D51" s="353"/>
      <c r="E51" s="353"/>
      <c r="F51" s="353"/>
      <c r="G51" s="353"/>
      <c r="H51" s="353"/>
      <c r="I51" s="353"/>
      <c r="J51" s="353"/>
      <c r="K51" s="206"/>
      <c r="L51" s="207"/>
      <c r="M51" s="207"/>
      <c r="N51" s="280"/>
      <c r="O51" s="280"/>
      <c r="P51" s="280"/>
      <c r="Q51" s="280"/>
    </row>
    <row r="52" spans="1:17" s="308" customFormat="1" ht="18" customHeight="1" hidden="1">
      <c r="A52" s="280"/>
      <c r="B52" s="389"/>
      <c r="C52" s="353"/>
      <c r="D52" s="353"/>
      <c r="E52" s="353"/>
      <c r="F52" s="353"/>
      <c r="G52" s="353"/>
      <c r="H52" s="353"/>
      <c r="I52" s="353"/>
      <c r="J52" s="353"/>
      <c r="K52" s="284"/>
      <c r="L52" s="285"/>
      <c r="M52" s="285"/>
      <c r="N52" s="280"/>
      <c r="O52" s="280"/>
      <c r="P52" s="280"/>
      <c r="Q52" s="280"/>
    </row>
    <row r="53" spans="1:17" s="308" customFormat="1" ht="12.75" hidden="1">
      <c r="A53" s="280"/>
      <c r="B53" s="280"/>
      <c r="C53" s="280"/>
      <c r="D53" s="280"/>
      <c r="E53" s="280"/>
      <c r="F53" s="280"/>
      <c r="G53" s="280"/>
      <c r="H53" s="280"/>
      <c r="I53" s="280"/>
      <c r="J53" s="280"/>
      <c r="K53" s="280"/>
      <c r="L53" s="280"/>
      <c r="M53" s="280"/>
      <c r="N53" s="280"/>
      <c r="O53" s="280"/>
      <c r="P53" s="280"/>
      <c r="Q53" s="280"/>
    </row>
    <row r="54" spans="1:17" s="308" customFormat="1" ht="12.75">
      <c r="A54" s="280"/>
      <c r="B54" s="280"/>
      <c r="C54" s="280"/>
      <c r="D54" s="280"/>
      <c r="E54" s="280"/>
      <c r="F54" s="280"/>
      <c r="G54" s="280"/>
      <c r="H54" s="280"/>
      <c r="I54" s="280"/>
      <c r="J54" s="280"/>
      <c r="K54" s="280"/>
      <c r="L54" s="280"/>
      <c r="M54" s="280"/>
      <c r="N54" s="280"/>
      <c r="O54" s="280"/>
      <c r="P54" s="280"/>
      <c r="Q54" s="280"/>
    </row>
    <row r="56" spans="1:17" ht="19.5" customHeight="1">
      <c r="A56" s="286"/>
      <c r="B56" s="287" t="s">
        <v>174</v>
      </c>
      <c r="C56" s="286"/>
      <c r="D56" s="286"/>
      <c r="E56" s="286"/>
      <c r="F56" s="286"/>
      <c r="G56" s="286"/>
      <c r="H56" s="286"/>
      <c r="I56" s="286"/>
      <c r="J56" s="286"/>
      <c r="K56" s="286"/>
      <c r="L56" s="286"/>
      <c r="M56" s="286"/>
      <c r="N56" s="286"/>
      <c r="O56" s="286"/>
      <c r="P56" s="286"/>
      <c r="Q56" s="286"/>
    </row>
    <row r="57" spans="1:17" ht="12.75">
      <c r="A57" s="286"/>
      <c r="B57" s="286"/>
      <c r="C57" s="286"/>
      <c r="D57" s="286"/>
      <c r="E57" s="286"/>
      <c r="F57" s="286"/>
      <c r="G57" s="286"/>
      <c r="H57" s="286"/>
      <c r="I57" s="286"/>
      <c r="J57" s="286"/>
      <c r="K57" s="286"/>
      <c r="L57" s="286"/>
      <c r="M57" s="286"/>
      <c r="N57" s="286"/>
      <c r="O57" s="286"/>
      <c r="P57" s="286"/>
      <c r="Q57" s="286"/>
    </row>
    <row r="58" spans="1:17" ht="12.75">
      <c r="A58" s="286"/>
      <c r="B58" s="288" t="s">
        <v>181</v>
      </c>
      <c r="C58" s="419" t="s">
        <v>183</v>
      </c>
      <c r="D58" s="420"/>
      <c r="E58" s="420"/>
      <c r="F58" s="420"/>
      <c r="G58" s="420"/>
      <c r="H58" s="420"/>
      <c r="I58" s="420"/>
      <c r="J58" s="420"/>
      <c r="K58" s="420"/>
      <c r="L58" s="420"/>
      <c r="M58" s="420"/>
      <c r="N58" s="420"/>
      <c r="O58" s="286"/>
      <c r="P58" s="286"/>
      <c r="Q58" s="286"/>
    </row>
    <row r="59" spans="1:17" ht="23.25" customHeight="1">
      <c r="A59" s="286"/>
      <c r="B59" s="286"/>
      <c r="C59" s="420"/>
      <c r="D59" s="420"/>
      <c r="E59" s="420"/>
      <c r="F59" s="420"/>
      <c r="G59" s="420"/>
      <c r="H59" s="420"/>
      <c r="I59" s="420"/>
      <c r="J59" s="420"/>
      <c r="K59" s="420"/>
      <c r="L59" s="420"/>
      <c r="M59" s="420"/>
      <c r="N59" s="420"/>
      <c r="O59" s="286"/>
      <c r="P59" s="286"/>
      <c r="Q59" s="286"/>
    </row>
    <row r="60" spans="1:17" ht="17.25" customHeight="1">
      <c r="A60" s="286"/>
      <c r="B60" s="286"/>
      <c r="C60" s="418"/>
      <c r="D60" s="418"/>
      <c r="E60" s="289"/>
      <c r="F60" s="397" t="s">
        <v>70</v>
      </c>
      <c r="G60" s="398"/>
      <c r="H60" s="397" t="s">
        <v>71</v>
      </c>
      <c r="I60" s="398"/>
      <c r="J60" s="397" t="s">
        <v>72</v>
      </c>
      <c r="K60" s="398"/>
      <c r="L60" s="385" t="s">
        <v>73</v>
      </c>
      <c r="M60" s="386"/>
      <c r="N60" s="393" t="s">
        <v>76</v>
      </c>
      <c r="O60" s="286"/>
      <c r="P60" s="286"/>
      <c r="Q60" s="286"/>
    </row>
    <row r="61" spans="1:17" s="309" customFormat="1" ht="17.25" customHeight="1">
      <c r="A61" s="290"/>
      <c r="B61" s="290"/>
      <c r="C61" s="418"/>
      <c r="D61" s="418"/>
      <c r="E61" s="290"/>
      <c r="F61" s="291" t="s">
        <v>74</v>
      </c>
      <c r="G61" s="292" t="s">
        <v>75</v>
      </c>
      <c r="H61" s="291" t="s">
        <v>74</v>
      </c>
      <c r="I61" s="292" t="s">
        <v>75</v>
      </c>
      <c r="J61" s="291" t="s">
        <v>74</v>
      </c>
      <c r="K61" s="292" t="s">
        <v>75</v>
      </c>
      <c r="L61" s="291" t="s">
        <v>74</v>
      </c>
      <c r="M61" s="293" t="s">
        <v>75</v>
      </c>
      <c r="N61" s="394"/>
      <c r="O61" s="290"/>
      <c r="P61" s="290"/>
      <c r="Q61" s="290"/>
    </row>
    <row r="62" spans="1:17" ht="22.5" customHeight="1">
      <c r="A62" s="286"/>
      <c r="B62" s="409" t="s">
        <v>180</v>
      </c>
      <c r="C62" s="410"/>
      <c r="D62" s="410"/>
      <c r="E62" s="411"/>
      <c r="F62" s="320">
        <v>10000</v>
      </c>
      <c r="G62" s="321">
        <v>5</v>
      </c>
      <c r="H62" s="320">
        <v>10</v>
      </c>
      <c r="I62" s="321">
        <v>5</v>
      </c>
      <c r="J62" s="320">
        <v>0</v>
      </c>
      <c r="K62" s="321">
        <v>0</v>
      </c>
      <c r="L62" s="320">
        <v>0</v>
      </c>
      <c r="M62" s="321">
        <v>0</v>
      </c>
      <c r="N62" s="294"/>
      <c r="O62" s="286"/>
      <c r="P62" s="286"/>
      <c r="Q62" s="286"/>
    </row>
    <row r="63" spans="1:17" ht="22.5" customHeight="1">
      <c r="A63" s="286"/>
      <c r="B63" s="412" t="s">
        <v>239</v>
      </c>
      <c r="C63" s="413"/>
      <c r="D63" s="413"/>
      <c r="E63" s="414"/>
      <c r="F63" s="395">
        <f>G62+2*F62</f>
        <v>20005</v>
      </c>
      <c r="G63" s="396"/>
      <c r="H63" s="395">
        <f>I62+2*H62</f>
        <v>25</v>
      </c>
      <c r="I63" s="396"/>
      <c r="J63" s="395">
        <f>K62+2*J62</f>
        <v>0</v>
      </c>
      <c r="K63" s="396"/>
      <c r="L63" s="395">
        <f>M62+2*L62</f>
        <v>0</v>
      </c>
      <c r="M63" s="396"/>
      <c r="N63" s="295"/>
      <c r="O63" s="286"/>
      <c r="P63" s="286"/>
      <c r="Q63" s="286"/>
    </row>
    <row r="64" spans="1:17" ht="22.5" customHeight="1">
      <c r="A64" s="286"/>
      <c r="B64" s="415" t="s">
        <v>187</v>
      </c>
      <c r="C64" s="416"/>
      <c r="D64" s="416"/>
      <c r="E64" s="417"/>
      <c r="F64" s="391">
        <v>0.23</v>
      </c>
      <c r="G64" s="392"/>
      <c r="H64" s="391">
        <v>0.34</v>
      </c>
      <c r="I64" s="392"/>
      <c r="J64" s="391">
        <v>0.3</v>
      </c>
      <c r="K64" s="392"/>
      <c r="L64" s="391">
        <v>1</v>
      </c>
      <c r="M64" s="392"/>
      <c r="N64" s="296"/>
      <c r="O64" s="297"/>
      <c r="P64" s="286"/>
      <c r="Q64" s="286"/>
    </row>
    <row r="65" spans="1:17" ht="22.5" customHeight="1">
      <c r="A65" s="286"/>
      <c r="B65" s="404" t="s">
        <v>69</v>
      </c>
      <c r="C65" s="404"/>
      <c r="D65" s="404"/>
      <c r="E65" s="404"/>
      <c r="F65" s="403"/>
      <c r="G65" s="403"/>
      <c r="H65" s="403"/>
      <c r="I65" s="403"/>
      <c r="J65" s="403"/>
      <c r="K65" s="403"/>
      <c r="L65" s="403"/>
      <c r="M65" s="406"/>
      <c r="N65" s="322">
        <f>SUMPRODUCT(F63:M63,F64:M64)</f>
        <v>4609.650000000001</v>
      </c>
      <c r="O65" s="286"/>
      <c r="P65" s="286"/>
      <c r="Q65" s="286"/>
    </row>
    <row r="66" spans="1:17" ht="22.5" customHeight="1">
      <c r="A66" s="286"/>
      <c r="B66" s="403" t="s">
        <v>188</v>
      </c>
      <c r="C66" s="403"/>
      <c r="D66" s="403"/>
      <c r="E66" s="403"/>
      <c r="F66" s="403"/>
      <c r="G66" s="403"/>
      <c r="H66" s="403"/>
      <c r="I66" s="403"/>
      <c r="J66" s="403"/>
      <c r="K66" s="403"/>
      <c r="L66" s="403"/>
      <c r="M66" s="406"/>
      <c r="N66" s="323">
        <v>2000</v>
      </c>
      <c r="O66" s="286"/>
      <c r="P66" s="286"/>
      <c r="Q66" s="286"/>
    </row>
    <row r="67" spans="1:17" ht="12.75">
      <c r="A67" s="286"/>
      <c r="B67" s="286"/>
      <c r="C67" s="286"/>
      <c r="D67" s="286"/>
      <c r="E67" s="286"/>
      <c r="F67" s="286"/>
      <c r="G67" s="286"/>
      <c r="H67" s="286"/>
      <c r="I67" s="286"/>
      <c r="J67" s="286"/>
      <c r="K67" s="286"/>
      <c r="L67" s="286"/>
      <c r="M67" s="286"/>
      <c r="N67" s="286"/>
      <c r="O67" s="286"/>
      <c r="P67" s="286"/>
      <c r="Q67" s="286"/>
    </row>
    <row r="68" spans="1:17" ht="12.75">
      <c r="A68" s="286"/>
      <c r="B68" s="286"/>
      <c r="C68" s="286"/>
      <c r="D68" s="286"/>
      <c r="E68" s="286"/>
      <c r="F68" s="286"/>
      <c r="G68" s="286"/>
      <c r="H68" s="286"/>
      <c r="I68" s="286"/>
      <c r="J68" s="286"/>
      <c r="K68" s="286"/>
      <c r="L68" s="286"/>
      <c r="M68" s="286"/>
      <c r="N68" s="286"/>
      <c r="O68" s="286"/>
      <c r="P68" s="286"/>
      <c r="Q68" s="286"/>
    </row>
    <row r="69" spans="1:17" ht="12.75">
      <c r="A69" s="286"/>
      <c r="B69" s="288" t="s">
        <v>182</v>
      </c>
      <c r="C69" s="419" t="s">
        <v>184</v>
      </c>
      <c r="D69" s="420"/>
      <c r="E69" s="420"/>
      <c r="F69" s="420"/>
      <c r="G69" s="420"/>
      <c r="H69" s="420"/>
      <c r="I69" s="420"/>
      <c r="J69" s="420"/>
      <c r="K69" s="420"/>
      <c r="L69" s="420"/>
      <c r="M69" s="420"/>
      <c r="N69" s="420"/>
      <c r="O69" s="286"/>
      <c r="P69" s="286"/>
      <c r="Q69" s="286"/>
    </row>
    <row r="70" spans="1:17" ht="25.5" customHeight="1">
      <c r="A70" s="286"/>
      <c r="B70" s="286"/>
      <c r="C70" s="420"/>
      <c r="D70" s="420"/>
      <c r="E70" s="420"/>
      <c r="F70" s="420"/>
      <c r="G70" s="420"/>
      <c r="H70" s="420"/>
      <c r="I70" s="420"/>
      <c r="J70" s="420"/>
      <c r="K70" s="420"/>
      <c r="L70" s="420"/>
      <c r="M70" s="420"/>
      <c r="N70" s="420"/>
      <c r="O70" s="286"/>
      <c r="P70" s="286"/>
      <c r="Q70" s="286"/>
    </row>
    <row r="71" spans="1:17" ht="17.25" customHeight="1">
      <c r="A71" s="286"/>
      <c r="B71" s="286"/>
      <c r="C71" s="418"/>
      <c r="D71" s="418"/>
      <c r="E71" s="286"/>
      <c r="F71" s="397" t="s">
        <v>70</v>
      </c>
      <c r="G71" s="398"/>
      <c r="H71" s="397" t="s">
        <v>71</v>
      </c>
      <c r="I71" s="398"/>
      <c r="J71" s="397" t="s">
        <v>72</v>
      </c>
      <c r="K71" s="398"/>
      <c r="L71" s="385" t="s">
        <v>73</v>
      </c>
      <c r="M71" s="386"/>
      <c r="N71" s="393" t="s">
        <v>76</v>
      </c>
      <c r="O71" s="286"/>
      <c r="P71" s="286"/>
      <c r="Q71" s="286"/>
    </row>
    <row r="72" spans="1:17" s="309" customFormat="1" ht="17.25" customHeight="1">
      <c r="A72" s="290"/>
      <c r="B72" s="290"/>
      <c r="C72" s="418"/>
      <c r="D72" s="418"/>
      <c r="E72" s="290"/>
      <c r="F72" s="291" t="s">
        <v>74</v>
      </c>
      <c r="G72" s="292" t="s">
        <v>75</v>
      </c>
      <c r="H72" s="291" t="s">
        <v>74</v>
      </c>
      <c r="I72" s="292" t="s">
        <v>75</v>
      </c>
      <c r="J72" s="291" t="s">
        <v>74</v>
      </c>
      <c r="K72" s="292" t="s">
        <v>75</v>
      </c>
      <c r="L72" s="291" t="s">
        <v>74</v>
      </c>
      <c r="M72" s="293" t="s">
        <v>75</v>
      </c>
      <c r="N72" s="394"/>
      <c r="O72" s="290"/>
      <c r="P72" s="290"/>
      <c r="Q72" s="290"/>
    </row>
    <row r="73" spans="1:17" ht="22.5" customHeight="1">
      <c r="A73" s="286"/>
      <c r="B73" s="409" t="s">
        <v>185</v>
      </c>
      <c r="C73" s="410"/>
      <c r="D73" s="410"/>
      <c r="E73" s="410"/>
      <c r="F73" s="349">
        <f aca="true" t="shared" si="1" ref="F73:M73">+F62</f>
        <v>10000</v>
      </c>
      <c r="G73" s="350">
        <f t="shared" si="1"/>
        <v>5</v>
      </c>
      <c r="H73" s="349">
        <f t="shared" si="1"/>
        <v>10</v>
      </c>
      <c r="I73" s="350">
        <f t="shared" si="1"/>
        <v>5</v>
      </c>
      <c r="J73" s="349">
        <f t="shared" si="1"/>
        <v>0</v>
      </c>
      <c r="K73" s="350">
        <f t="shared" si="1"/>
        <v>0</v>
      </c>
      <c r="L73" s="349">
        <f t="shared" si="1"/>
        <v>0</v>
      </c>
      <c r="M73" s="350">
        <f t="shared" si="1"/>
        <v>0</v>
      </c>
      <c r="N73" s="298"/>
      <c r="O73" s="286"/>
      <c r="P73" s="286"/>
      <c r="Q73" s="286"/>
    </row>
    <row r="74" spans="1:17" ht="26.25" customHeight="1">
      <c r="A74" s="286"/>
      <c r="B74" s="399" t="s">
        <v>186</v>
      </c>
      <c r="C74" s="400"/>
      <c r="D74" s="400"/>
      <c r="E74" s="400"/>
      <c r="F74" s="324">
        <v>10</v>
      </c>
      <c r="G74" s="325">
        <v>10</v>
      </c>
      <c r="H74" s="324">
        <v>1</v>
      </c>
      <c r="I74" s="325">
        <v>6</v>
      </c>
      <c r="J74" s="324">
        <v>2</v>
      </c>
      <c r="K74" s="325">
        <v>4</v>
      </c>
      <c r="L74" s="324">
        <v>0</v>
      </c>
      <c r="M74" s="325">
        <v>0</v>
      </c>
      <c r="N74" s="299"/>
      <c r="O74" s="286"/>
      <c r="P74" s="286"/>
      <c r="Q74" s="286"/>
    </row>
    <row r="75" spans="1:17" ht="26.25" customHeight="1">
      <c r="A75" s="286"/>
      <c r="B75" s="399" t="s">
        <v>240</v>
      </c>
      <c r="C75" s="400"/>
      <c r="D75" s="400"/>
      <c r="E75" s="400"/>
      <c r="F75" s="395">
        <f>G73+2*F73</f>
        <v>20005</v>
      </c>
      <c r="G75" s="396"/>
      <c r="H75" s="395">
        <f>I73+2*H73</f>
        <v>25</v>
      </c>
      <c r="I75" s="396"/>
      <c r="J75" s="395">
        <f>K73+2*J73</f>
        <v>0</v>
      </c>
      <c r="K75" s="396"/>
      <c r="L75" s="395">
        <f>M73+2*L73</f>
        <v>0</v>
      </c>
      <c r="M75" s="396"/>
      <c r="N75" s="300"/>
      <c r="O75" s="286"/>
      <c r="P75" s="286"/>
      <c r="Q75" s="286"/>
    </row>
    <row r="76" spans="1:17" ht="26.25" customHeight="1">
      <c r="A76" s="286"/>
      <c r="B76" s="399" t="s">
        <v>241</v>
      </c>
      <c r="C76" s="400"/>
      <c r="D76" s="400"/>
      <c r="E76" s="400"/>
      <c r="F76" s="395">
        <f>G74+2*F74</f>
        <v>30</v>
      </c>
      <c r="G76" s="396"/>
      <c r="H76" s="395">
        <f>I74+2*H74</f>
        <v>8</v>
      </c>
      <c r="I76" s="396"/>
      <c r="J76" s="395">
        <f>K74+2*J74</f>
        <v>8</v>
      </c>
      <c r="K76" s="396"/>
      <c r="L76" s="395">
        <f>M74+2*L74</f>
        <v>0</v>
      </c>
      <c r="M76" s="396"/>
      <c r="N76" s="300"/>
      <c r="O76" s="286"/>
      <c r="P76" s="286"/>
      <c r="Q76" s="286"/>
    </row>
    <row r="77" spans="1:17" ht="22.5" customHeight="1">
      <c r="A77" s="286"/>
      <c r="B77" s="401" t="s">
        <v>68</v>
      </c>
      <c r="C77" s="402"/>
      <c r="D77" s="402"/>
      <c r="E77" s="402"/>
      <c r="F77" s="407">
        <f>+F64</f>
        <v>0.23</v>
      </c>
      <c r="G77" s="408"/>
      <c r="H77" s="407">
        <f>+H64</f>
        <v>0.34</v>
      </c>
      <c r="I77" s="408"/>
      <c r="J77" s="407">
        <f>+J64</f>
        <v>0.3</v>
      </c>
      <c r="K77" s="408"/>
      <c r="L77" s="407">
        <f>+L64</f>
        <v>1</v>
      </c>
      <c r="M77" s="408"/>
      <c r="N77" s="300"/>
      <c r="O77" s="286"/>
      <c r="P77" s="286"/>
      <c r="Q77" s="286"/>
    </row>
    <row r="78" spans="1:17" ht="22.5" customHeight="1">
      <c r="A78" s="286"/>
      <c r="B78" s="403" t="s">
        <v>77</v>
      </c>
      <c r="C78" s="403"/>
      <c r="D78" s="403"/>
      <c r="E78" s="403"/>
      <c r="F78" s="404"/>
      <c r="G78" s="404"/>
      <c r="H78" s="404"/>
      <c r="I78" s="404"/>
      <c r="J78" s="404"/>
      <c r="K78" s="404"/>
      <c r="L78" s="404"/>
      <c r="M78" s="405"/>
      <c r="N78" s="322">
        <f>SUMPRODUCT(F75:M75,F77:M77)</f>
        <v>4609.650000000001</v>
      </c>
      <c r="O78" s="286"/>
      <c r="P78" s="286"/>
      <c r="Q78" s="286"/>
    </row>
    <row r="79" spans="1:17" ht="22.5" customHeight="1">
      <c r="A79" s="286"/>
      <c r="B79" s="403" t="s">
        <v>78</v>
      </c>
      <c r="C79" s="403"/>
      <c r="D79" s="403"/>
      <c r="E79" s="403"/>
      <c r="F79" s="403"/>
      <c r="G79" s="403"/>
      <c r="H79" s="403"/>
      <c r="I79" s="403"/>
      <c r="J79" s="403"/>
      <c r="K79" s="403"/>
      <c r="L79" s="403"/>
      <c r="M79" s="406"/>
      <c r="N79" s="326">
        <f>+SUMPRODUCT(F76:M76,F77:M77)</f>
        <v>12.020000000000001</v>
      </c>
      <c r="O79" s="286"/>
      <c r="P79" s="286"/>
      <c r="Q79" s="286"/>
    </row>
    <row r="80" spans="1:17" ht="12.75">
      <c r="A80" s="286"/>
      <c r="B80" s="286"/>
      <c r="C80" s="286"/>
      <c r="D80" s="286"/>
      <c r="E80" s="286"/>
      <c r="F80" s="286"/>
      <c r="G80" s="286"/>
      <c r="H80" s="286"/>
      <c r="I80" s="286"/>
      <c r="J80" s="286"/>
      <c r="K80" s="286"/>
      <c r="L80" s="286"/>
      <c r="M80" s="286"/>
      <c r="N80" s="286"/>
      <c r="O80" s="286"/>
      <c r="P80" s="286"/>
      <c r="Q80" s="286"/>
    </row>
    <row r="81" spans="1:17" ht="12.75">
      <c r="A81" s="286"/>
      <c r="B81" s="286"/>
      <c r="C81" s="286"/>
      <c r="D81" s="286"/>
      <c r="E81" s="286"/>
      <c r="F81" s="286"/>
      <c r="G81" s="286"/>
      <c r="H81" s="286"/>
      <c r="I81" s="286"/>
      <c r="J81" s="286"/>
      <c r="K81" s="286"/>
      <c r="L81" s="286"/>
      <c r="M81" s="286"/>
      <c r="N81" s="286"/>
      <c r="O81" s="286"/>
      <c r="P81" s="286"/>
      <c r="Q81" s="286"/>
    </row>
    <row r="83" spans="1:17" ht="12.75">
      <c r="A83" s="301"/>
      <c r="B83" s="301"/>
      <c r="C83" s="301"/>
      <c r="D83" s="301"/>
      <c r="E83" s="301"/>
      <c r="F83" s="301"/>
      <c r="G83" s="301"/>
      <c r="H83" s="301"/>
      <c r="I83" s="301"/>
      <c r="J83" s="301"/>
      <c r="K83" s="301"/>
      <c r="L83" s="301"/>
      <c r="M83" s="301"/>
      <c r="N83" s="301"/>
      <c r="O83" s="301"/>
      <c r="P83" s="301"/>
      <c r="Q83" s="301"/>
    </row>
    <row r="84" spans="1:17" ht="12.75">
      <c r="A84" s="302"/>
      <c r="B84" s="302"/>
      <c r="C84" s="302"/>
      <c r="D84" s="302"/>
      <c r="E84" s="302"/>
      <c r="F84" s="302"/>
      <c r="G84" s="302"/>
      <c r="H84" s="302"/>
      <c r="I84" s="302"/>
      <c r="J84" s="302"/>
      <c r="K84" s="302"/>
      <c r="L84" s="302"/>
      <c r="M84" s="302"/>
      <c r="N84" s="302"/>
      <c r="O84" s="302"/>
      <c r="P84" s="302"/>
      <c r="Q84" s="302"/>
    </row>
    <row r="85" spans="1:17" ht="12.75">
      <c r="A85" s="303"/>
      <c r="B85" s="303"/>
      <c r="C85" s="303"/>
      <c r="D85" s="303"/>
      <c r="E85" s="303"/>
      <c r="F85" s="303"/>
      <c r="G85" s="303"/>
      <c r="H85" s="303"/>
      <c r="I85" s="303"/>
      <c r="J85" s="303"/>
      <c r="K85" s="303"/>
      <c r="L85" s="303"/>
      <c r="M85" s="303"/>
      <c r="N85" s="303"/>
      <c r="O85" s="303"/>
      <c r="P85" s="303"/>
      <c r="Q85" s="303"/>
    </row>
  </sheetData>
  <sheetProtection password="CC31" sheet="1" objects="1" scenarios="1"/>
  <mergeCells count="80">
    <mergeCell ref="C58:N59"/>
    <mergeCell ref="I17:J17"/>
    <mergeCell ref="B73:E73"/>
    <mergeCell ref="C60:D61"/>
    <mergeCell ref="L71:M71"/>
    <mergeCell ref="N71:N72"/>
    <mergeCell ref="B65:M65"/>
    <mergeCell ref="B66:M66"/>
    <mergeCell ref="F64:G64"/>
    <mergeCell ref="H64:I64"/>
    <mergeCell ref="B74:E74"/>
    <mergeCell ref="B75:E75"/>
    <mergeCell ref="J71:K71"/>
    <mergeCell ref="B62:E62"/>
    <mergeCell ref="B63:E63"/>
    <mergeCell ref="B64:E64"/>
    <mergeCell ref="C71:D72"/>
    <mergeCell ref="F71:G71"/>
    <mergeCell ref="H71:I71"/>
    <mergeCell ref="C69:N70"/>
    <mergeCell ref="B76:E76"/>
    <mergeCell ref="B77:E77"/>
    <mergeCell ref="B78:M78"/>
    <mergeCell ref="B79:M79"/>
    <mergeCell ref="F77:G77"/>
    <mergeCell ref="H77:I77"/>
    <mergeCell ref="J77:K77"/>
    <mergeCell ref="L77:M77"/>
    <mergeCell ref="L75:M75"/>
    <mergeCell ref="F76:G76"/>
    <mergeCell ref="H76:I76"/>
    <mergeCell ref="J76:K76"/>
    <mergeCell ref="L76:M76"/>
    <mergeCell ref="F75:G75"/>
    <mergeCell ref="H75:I75"/>
    <mergeCell ref="J75:K75"/>
    <mergeCell ref="J64:K64"/>
    <mergeCell ref="L64:M64"/>
    <mergeCell ref="N60:N61"/>
    <mergeCell ref="F63:G63"/>
    <mergeCell ref="H63:I63"/>
    <mergeCell ref="J63:K63"/>
    <mergeCell ref="L63:M63"/>
    <mergeCell ref="F60:G60"/>
    <mergeCell ref="H60:I60"/>
    <mergeCell ref="J60:K60"/>
    <mergeCell ref="L60:M60"/>
    <mergeCell ref="B48:C48"/>
    <mergeCell ref="B49:C49"/>
    <mergeCell ref="F43:L43"/>
    <mergeCell ref="B51:B52"/>
    <mergeCell ref="D43:E43"/>
    <mergeCell ref="B43:C44"/>
    <mergeCell ref="B45:C45"/>
    <mergeCell ref="B46:C46"/>
    <mergeCell ref="B47:C47"/>
    <mergeCell ref="C51:J52"/>
    <mergeCell ref="B24:C24"/>
    <mergeCell ref="M21:O21"/>
    <mergeCell ref="P21:P22"/>
    <mergeCell ref="B21:C22"/>
    <mergeCell ref="B23:C23"/>
    <mergeCell ref="D21:F21"/>
    <mergeCell ref="J21:L21"/>
    <mergeCell ref="G21:I21"/>
    <mergeCell ref="B30:C30"/>
    <mergeCell ref="B31:C31"/>
    <mergeCell ref="B25:C25"/>
    <mergeCell ref="B26:C26"/>
    <mergeCell ref="B27:C27"/>
    <mergeCell ref="B29:C29"/>
    <mergeCell ref="B28:C28"/>
    <mergeCell ref="B41:C41"/>
    <mergeCell ref="D38:E38"/>
    <mergeCell ref="D39:E39"/>
    <mergeCell ref="D40:E40"/>
    <mergeCell ref="D41:E41"/>
    <mergeCell ref="B38:C38"/>
    <mergeCell ref="B39:C39"/>
    <mergeCell ref="B40:C40"/>
  </mergeCells>
  <dataValidations count="7">
    <dataValidation type="whole" allowBlank="1" showInputMessage="1" showErrorMessage="1" errorTitle="mistake" sqref="K41">
      <formula1>0</formula1>
      <formula2>2000</formula2>
    </dataValidation>
    <dataValidation allowBlank="1" showInputMessage="1" error="Please enter a whole number between 0 and 2000." sqref="F73:M73"/>
    <dataValidation type="decimal" allowBlank="1" showInputMessage="1" showErrorMessage="1" error="Please enter a percentage between 0% and 100%&#10;&#10;(Note: If you click &quot;Retry&quot; you must enter the % symbol. This is not necessary if you click &quot;Cancel.&quot;)" sqref="F64:M64">
      <formula1>0</formula1>
      <formula2>1</formula2>
    </dataValidation>
    <dataValidation type="whole" allowBlank="1" showInputMessage="1" showErrorMessage="1" error="Please enter a whole number between 0 and 30,000" sqref="N66">
      <formula1>0</formula1>
      <formula2>30000</formula2>
    </dataValidation>
    <dataValidation type="whole" allowBlank="1" showInputMessage="1" showErrorMessage="1" errorTitle="Error" error="Please enter a whole number between 0 and 4000." sqref="D23:P30">
      <formula1>0</formula1>
      <formula2>4000</formula2>
    </dataValidation>
    <dataValidation type="whole" allowBlank="1" showInputMessage="1" showErrorMessage="1" errorTitle="Error" error="Please enter a whole number between 0 and 2000" sqref="D39:E41">
      <formula1>0</formula1>
      <formula2>2000</formula2>
    </dataValidation>
    <dataValidation type="whole" allowBlank="1" showInputMessage="1" showErrorMessage="1" error="Please enter a whole number between 0 and 10,000." sqref="F62:M62 F74:M74">
      <formula1>0</formula1>
      <formula2>10000</formula2>
    </dataValidation>
  </dataValidations>
  <printOptions horizontalCentered="1"/>
  <pageMargins left="0.45" right="0.45" top="0.45" bottom="0.45" header="0.3" footer="0.3"/>
  <pageSetup fitToHeight="1" fitToWidth="1" horizontalDpi="600" verticalDpi="600" orientation="portrait" scale="61" r:id="rId4"/>
  <headerFooter alignWithMargins="0">
    <oddFooter>&amp;L&amp;A&amp;C&amp;F&amp;R&amp;D</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6"/>
  <dimension ref="A1:T124"/>
  <sheetViews>
    <sheetView showRowColHeaders="0" defaultGridColor="0" zoomScaleSheetLayoutView="75" colorId="55" workbookViewId="0" topLeftCell="A1">
      <pane ySplit="2" topLeftCell="BD3" activePane="bottomLeft" state="frozen"/>
      <selection pane="topLeft" activeCell="A1" sqref="A1"/>
      <selection pane="bottomLeft" activeCell="A1" sqref="A1"/>
    </sheetView>
  </sheetViews>
  <sheetFormatPr defaultColWidth="11.421875" defaultRowHeight="12.75"/>
  <cols>
    <col min="1" max="1" width="1.7109375" style="2" customWidth="1"/>
    <col min="2" max="2" width="10.28125" style="2" customWidth="1"/>
    <col min="3" max="6" width="7.7109375" style="2" customWidth="1"/>
    <col min="7" max="7" width="10.28125" style="2" customWidth="1"/>
    <col min="8" max="8" width="9.140625" style="2" customWidth="1"/>
    <col min="9" max="14" width="8.57421875" style="2" customWidth="1"/>
    <col min="15" max="15" width="6.8515625" style="2" customWidth="1"/>
    <col min="16" max="16" width="7.00390625" style="2" customWidth="1"/>
    <col min="17" max="17" width="11.57421875" style="4" customWidth="1"/>
    <col min="18" max="18" width="1.8515625" style="2" customWidth="1"/>
    <col min="19" max="16384" width="9.140625" style="2" customWidth="1"/>
  </cols>
  <sheetData>
    <row r="1" spans="1:18" ht="28.5" customHeight="1">
      <c r="A1" s="19"/>
      <c r="B1" s="82" t="s">
        <v>97</v>
      </c>
      <c r="C1" s="19"/>
      <c r="D1" s="19"/>
      <c r="E1" s="19"/>
      <c r="F1" s="19"/>
      <c r="G1" s="19"/>
      <c r="H1" s="19"/>
      <c r="I1" s="19"/>
      <c r="J1" s="19"/>
      <c r="K1" s="19"/>
      <c r="L1" s="19"/>
      <c r="M1" s="19"/>
      <c r="N1" s="19"/>
      <c r="O1" s="19"/>
      <c r="P1" s="19"/>
      <c r="Q1" s="84"/>
      <c r="R1" s="19"/>
    </row>
    <row r="2" spans="1:18" ht="26.25" customHeight="1">
      <c r="A2" s="19"/>
      <c r="B2" s="312" t="str">
        <f>CONCATENATE("Intersection: ",'Input Data'!G4)</f>
        <v>Intersection: Richmond Street / Duncan Street</v>
      </c>
      <c r="C2" s="311"/>
      <c r="D2" s="311"/>
      <c r="E2" s="311"/>
      <c r="F2" s="311"/>
      <c r="G2" s="312"/>
      <c r="H2" s="19"/>
      <c r="I2" s="312" t="str">
        <f>CONCATENATE("Count Date: ",'Input Data'!N6)</f>
        <v>Count Date: 2007-09-27</v>
      </c>
      <c r="J2" s="19"/>
      <c r="K2" s="19"/>
      <c r="L2" s="19"/>
      <c r="M2" s="19"/>
      <c r="N2" s="19"/>
      <c r="O2" s="19"/>
      <c r="P2" s="19"/>
      <c r="Q2" s="84"/>
      <c r="R2" s="19"/>
    </row>
    <row r="3" spans="2:17" s="17" customFormat="1" ht="11.25" customHeight="1">
      <c r="B3" s="562"/>
      <c r="C3" s="562"/>
      <c r="D3" s="562"/>
      <c r="E3" s="562"/>
      <c r="F3" s="562"/>
      <c r="G3" s="562"/>
      <c r="H3" s="562"/>
      <c r="Q3" s="27"/>
    </row>
    <row r="4" spans="1:18" ht="24" customHeight="1">
      <c r="A4" s="29"/>
      <c r="B4" s="549" t="s">
        <v>189</v>
      </c>
      <c r="C4" s="549"/>
      <c r="D4" s="549"/>
      <c r="E4" s="549"/>
      <c r="F4" s="549"/>
      <c r="G4" s="549"/>
      <c r="H4" s="549"/>
      <c r="I4" s="29"/>
      <c r="J4" s="29"/>
      <c r="K4" s="29"/>
      <c r="L4" s="29"/>
      <c r="M4" s="29"/>
      <c r="N4" s="29"/>
      <c r="O4" s="29"/>
      <c r="P4" s="29"/>
      <c r="Q4" s="30"/>
      <c r="R4" s="29"/>
    </row>
    <row r="5" spans="1:18" ht="7.5" customHeight="1">
      <c r="A5" s="29"/>
      <c r="B5" s="31"/>
      <c r="C5" s="29"/>
      <c r="D5" s="29"/>
      <c r="E5" s="29"/>
      <c r="F5" s="29"/>
      <c r="G5" s="29"/>
      <c r="H5" s="29"/>
      <c r="I5" s="29"/>
      <c r="J5" s="29"/>
      <c r="K5" s="29"/>
      <c r="L5" s="29"/>
      <c r="M5" s="29"/>
      <c r="N5" s="29"/>
      <c r="O5" s="29"/>
      <c r="P5" s="29"/>
      <c r="Q5" s="30"/>
      <c r="R5" s="29"/>
    </row>
    <row r="6" spans="1:18" ht="12.75">
      <c r="A6" s="29"/>
      <c r="B6" s="446" t="str">
        <f>+IF(Selections!$B$14="&lt; 70 km/hr","Restricted Flow Urban Conditions","Free Flow Rural Conditions")</f>
        <v>Restricted Flow Urban Conditions</v>
      </c>
      <c r="C6" s="446"/>
      <c r="D6" s="446"/>
      <c r="E6" s="446"/>
      <c r="F6" s="220"/>
      <c r="G6" s="29"/>
      <c r="H6" s="29"/>
      <c r="I6" s="29"/>
      <c r="J6" s="29"/>
      <c r="K6" s="29"/>
      <c r="L6" s="29"/>
      <c r="M6" s="29"/>
      <c r="N6" s="29"/>
      <c r="O6" s="29"/>
      <c r="P6" s="29"/>
      <c r="Q6" s="30"/>
      <c r="R6" s="29"/>
    </row>
    <row r="7" spans="1:18" ht="11.25">
      <c r="A7" s="29"/>
      <c r="B7" s="32"/>
      <c r="C7" s="29"/>
      <c r="D7" s="29"/>
      <c r="E7" s="29"/>
      <c r="F7" s="29"/>
      <c r="G7" s="29"/>
      <c r="H7" s="29"/>
      <c r="I7" s="29"/>
      <c r="J7" s="29"/>
      <c r="K7" s="29"/>
      <c r="L7" s="29"/>
      <c r="M7" s="29"/>
      <c r="N7" s="29"/>
      <c r="O7" s="29"/>
      <c r="P7" s="29"/>
      <c r="Q7" s="30"/>
      <c r="R7" s="29"/>
    </row>
    <row r="8" spans="1:18" s="3" customFormat="1" ht="21" customHeight="1">
      <c r="A8" s="33"/>
      <c r="B8" s="447" t="s">
        <v>4</v>
      </c>
      <c r="C8" s="432" t="s">
        <v>242</v>
      </c>
      <c r="D8" s="433"/>
      <c r="E8" s="433"/>
      <c r="F8" s="434"/>
      <c r="G8" s="435" t="s">
        <v>205</v>
      </c>
      <c r="H8" s="465"/>
      <c r="I8" s="465"/>
      <c r="J8" s="465"/>
      <c r="K8" s="465"/>
      <c r="L8" s="465"/>
      <c r="M8" s="465"/>
      <c r="N8" s="465"/>
      <c r="O8" s="423" t="s">
        <v>209</v>
      </c>
      <c r="P8" s="423" t="s">
        <v>226</v>
      </c>
      <c r="Q8" s="34"/>
      <c r="R8" s="33"/>
    </row>
    <row r="9" spans="1:18" ht="21" customHeight="1">
      <c r="A9" s="29"/>
      <c r="B9" s="448"/>
      <c r="C9" s="432" t="s">
        <v>224</v>
      </c>
      <c r="D9" s="434"/>
      <c r="E9" s="435" t="s">
        <v>225</v>
      </c>
      <c r="F9" s="436"/>
      <c r="G9" s="435" t="s">
        <v>5</v>
      </c>
      <c r="H9" s="465"/>
      <c r="I9" s="465"/>
      <c r="J9" s="465"/>
      <c r="K9" s="465"/>
      <c r="L9" s="465"/>
      <c r="M9" s="465"/>
      <c r="N9" s="465"/>
      <c r="O9" s="423"/>
      <c r="P9" s="423"/>
      <c r="Q9" s="35"/>
      <c r="R9" s="29"/>
    </row>
    <row r="10" spans="1:18" ht="22.5">
      <c r="A10" s="29"/>
      <c r="B10" s="232" t="s">
        <v>208</v>
      </c>
      <c r="C10" s="225" t="s">
        <v>206</v>
      </c>
      <c r="D10" s="225" t="s">
        <v>207</v>
      </c>
      <c r="E10" s="225" t="s">
        <v>206</v>
      </c>
      <c r="F10" s="225" t="s">
        <v>207</v>
      </c>
      <c r="G10" s="450">
        <f>+'Input Data'!$B$23</f>
        <v>0.2916666666666667</v>
      </c>
      <c r="H10" s="450">
        <f>+'Input Data'!$B$24</f>
        <v>0.3333333333333333</v>
      </c>
      <c r="I10" s="450">
        <f>+'Input Data'!$B$25</f>
        <v>0.375</v>
      </c>
      <c r="J10" s="450">
        <f>+'Input Data'!$B$26</f>
        <v>0.5</v>
      </c>
      <c r="K10" s="450">
        <f>+'Input Data'!$B$27</f>
        <v>0.5416666666666666</v>
      </c>
      <c r="L10" s="450">
        <f>+'Input Data'!$B$28</f>
        <v>0.6666666666666666</v>
      </c>
      <c r="M10" s="450">
        <f>+'Input Data'!$B$29</f>
        <v>0.7083333333333334</v>
      </c>
      <c r="N10" s="449">
        <f>+'Input Data'!$B$30</f>
        <v>0.75</v>
      </c>
      <c r="O10" s="235"/>
      <c r="P10" s="241"/>
      <c r="Q10" s="224"/>
      <c r="R10" s="29"/>
    </row>
    <row r="11" spans="1:18" ht="15.75" customHeight="1">
      <c r="A11" s="29"/>
      <c r="B11" s="233"/>
      <c r="C11" s="231" t="b">
        <f>+IF(AND(Selections!$B$6="1",Selections!$C$14="RURAL"),TRUE,FALSE)</f>
        <v>0</v>
      </c>
      <c r="D11" s="231" t="b">
        <f>+IF(AND(Selections!$B$6="1",Selections!$C$14="URBAN"),TRUE,FALSE)</f>
        <v>0</v>
      </c>
      <c r="E11" s="231" t="b">
        <f>+IF(AND(Selections!$B$6="2 or more",Selections!$C$14="RURAL"),TRUE,FALSE)</f>
        <v>0</v>
      </c>
      <c r="F11" s="231" t="b">
        <f>+IF(AND(Selections!$B$6="2 or more",Selections!$C$14="Urban"),TRUE,FALSE)</f>
        <v>1</v>
      </c>
      <c r="G11" s="464"/>
      <c r="H11" s="464"/>
      <c r="I11" s="464"/>
      <c r="J11" s="464"/>
      <c r="K11" s="464"/>
      <c r="L11" s="464"/>
      <c r="M11" s="464"/>
      <c r="N11" s="450"/>
      <c r="O11" s="235"/>
      <c r="P11" s="241"/>
      <c r="Q11" s="224"/>
      <c r="R11" s="29"/>
    </row>
    <row r="12" spans="1:18" s="239" customFormat="1" ht="21.75" customHeight="1">
      <c r="A12" s="238"/>
      <c r="B12" s="424" t="s">
        <v>210</v>
      </c>
      <c r="C12" s="240">
        <v>480</v>
      </c>
      <c r="D12" s="237">
        <v>720</v>
      </c>
      <c r="E12" s="237">
        <v>600</v>
      </c>
      <c r="F12" s="242">
        <v>900</v>
      </c>
      <c r="G12" s="337">
        <f>SUM('Input Data'!D23:O23)</f>
        <v>6300</v>
      </c>
      <c r="H12" s="338">
        <f>SUM('Input Data'!D24:O24)</f>
        <v>6299</v>
      </c>
      <c r="I12" s="338">
        <f>SUM('Input Data'!D25:O25)</f>
        <v>2300</v>
      </c>
      <c r="J12" s="338">
        <f>SUM('Input Data'!D26:O26)</f>
        <v>2300</v>
      </c>
      <c r="K12" s="338">
        <f>SUM('Input Data'!D27:O27)</f>
        <v>2300</v>
      </c>
      <c r="L12" s="338">
        <f>SUM('Input Data'!D28:O28)</f>
        <v>2300</v>
      </c>
      <c r="M12" s="338">
        <f>SUM('Input Data'!D29:O29)</f>
        <v>2300</v>
      </c>
      <c r="N12" s="339">
        <f>SUM('Input Data'!D30:O30)</f>
        <v>2300</v>
      </c>
      <c r="O12" s="340"/>
      <c r="P12" s="341"/>
      <c r="Q12" s="85"/>
      <c r="R12" s="238"/>
    </row>
    <row r="13" spans="1:18" s="120" customFormat="1" ht="10.5" customHeight="1">
      <c r="A13" s="119"/>
      <c r="B13" s="508"/>
      <c r="C13" s="596" t="s">
        <v>214</v>
      </c>
      <c r="D13" s="597"/>
      <c r="E13" s="597"/>
      <c r="F13" s="597"/>
      <c r="G13" s="428">
        <f aca="true" t="shared" si="0" ref="G13:N13">+IF((IF($C$11=TRUE,G12*100/$C$12,IF($D$11=TRUE,G12*100/$D$12,IF($E$11=TRUE,G12*100/$E$12,G12*100/$F$12))))&gt;=100,100,(IF($C$11=TRUE,G12*100/$C$12,IF($D$11=TRUE,G12*100/$D$12,IF($E$11=TRUE,G12*100/$E$12,G12*100/$F$12)))))</f>
        <v>100</v>
      </c>
      <c r="H13" s="430">
        <f t="shared" si="0"/>
        <v>100</v>
      </c>
      <c r="I13" s="430">
        <f t="shared" si="0"/>
        <v>100</v>
      </c>
      <c r="J13" s="430">
        <f t="shared" si="0"/>
        <v>100</v>
      </c>
      <c r="K13" s="430">
        <f t="shared" si="0"/>
        <v>100</v>
      </c>
      <c r="L13" s="430">
        <f t="shared" si="0"/>
        <v>100</v>
      </c>
      <c r="M13" s="430">
        <f t="shared" si="0"/>
        <v>100</v>
      </c>
      <c r="N13" s="426">
        <f t="shared" si="0"/>
        <v>100</v>
      </c>
      <c r="O13" s="600">
        <f>SUM(G13:N13)</f>
        <v>800</v>
      </c>
      <c r="P13" s="422">
        <f>+O13/8</f>
        <v>100</v>
      </c>
      <c r="Q13" s="89"/>
      <c r="R13" s="119"/>
    </row>
    <row r="14" spans="1:18" ht="10.5" customHeight="1">
      <c r="A14" s="29"/>
      <c r="B14" s="509"/>
      <c r="C14" s="598"/>
      <c r="D14" s="599"/>
      <c r="E14" s="599"/>
      <c r="F14" s="599"/>
      <c r="G14" s="429"/>
      <c r="H14" s="431"/>
      <c r="I14" s="431"/>
      <c r="J14" s="431"/>
      <c r="K14" s="431"/>
      <c r="L14" s="431"/>
      <c r="M14" s="431"/>
      <c r="N14" s="427"/>
      <c r="O14" s="600"/>
      <c r="P14" s="422"/>
      <c r="Q14" s="30"/>
      <c r="R14" s="29"/>
    </row>
    <row r="15" spans="1:18" s="3" customFormat="1" ht="21.75" customHeight="1">
      <c r="A15" s="33"/>
      <c r="B15" s="424" t="s">
        <v>211</v>
      </c>
      <c r="C15" s="240">
        <f>+IF(Selections!$B$10="4",120,180)</f>
        <v>120</v>
      </c>
      <c r="D15" s="237">
        <f>+IF(Selections!$B$10="4",170,255)</f>
        <v>170</v>
      </c>
      <c r="E15" s="237">
        <f>+IF(Selections!$B$10="4",120,180)</f>
        <v>120</v>
      </c>
      <c r="F15" s="242">
        <f>+IF(Selections!$B$10="4",170,255)</f>
        <v>170</v>
      </c>
      <c r="G15" s="337">
        <f>SUM('Input Data'!$G$23:$I$23,'Input Data'!$M$23:$O$23)</f>
        <v>1100</v>
      </c>
      <c r="H15" s="338">
        <f>SUM('Input Data'!$G$24:$I$24,'Input Data'!$M$24:$O$24)</f>
        <v>1100</v>
      </c>
      <c r="I15" s="338">
        <f>SUM('Input Data'!$G$25:$I$25,'Input Data'!$M$25:$O$25)</f>
        <v>1100</v>
      </c>
      <c r="J15" s="338">
        <f>SUM('Input Data'!$G$26:$I$26,'Input Data'!$M$26:$O$26)</f>
        <v>1100</v>
      </c>
      <c r="K15" s="338">
        <f>SUM('Input Data'!$G$27:$I$27,'Input Data'!$M$27:$O$27)</f>
        <v>1100</v>
      </c>
      <c r="L15" s="338">
        <f>SUM('Input Data'!$G$28:$I$28,'Input Data'!$M$28:$O$28)</f>
        <v>1100</v>
      </c>
      <c r="M15" s="338">
        <f>SUM('Input Data'!$G$29:$I$29,'Input Data'!$M$29:$O$29)</f>
        <v>1100</v>
      </c>
      <c r="N15" s="339">
        <f>SUM('Input Data'!$G$30:$I$30,'Input Data'!$M$30:$O$30)</f>
        <v>1100</v>
      </c>
      <c r="O15" s="342"/>
      <c r="P15" s="343"/>
      <c r="Q15" s="85"/>
      <c r="R15" s="33"/>
    </row>
    <row r="16" spans="1:18" s="3" customFormat="1" ht="10.5" customHeight="1">
      <c r="A16" s="33"/>
      <c r="B16" s="508"/>
      <c r="C16" s="596" t="s">
        <v>214</v>
      </c>
      <c r="D16" s="597"/>
      <c r="E16" s="597"/>
      <c r="F16" s="597"/>
      <c r="G16" s="428">
        <f aca="true" t="shared" si="1" ref="G16:N16">+IF((IF($C$11=TRUE,G15*100/$C$15,IF($D$11=TRUE,G15*100/$D$15,IF($E$11=TRUE,G15*100/$E$15,G15*100/$F$15))))&gt;=100,100,(IF($C$11=TRUE,G15*100/$C$15,IF($D$11=TRUE,G15*100/$D$15,IF($E$11=TRUE,G15*100/$E$15,G15*100/$F$15)))))</f>
        <v>100</v>
      </c>
      <c r="H16" s="430">
        <f t="shared" si="1"/>
        <v>100</v>
      </c>
      <c r="I16" s="430">
        <f t="shared" si="1"/>
        <v>100</v>
      </c>
      <c r="J16" s="430">
        <f t="shared" si="1"/>
        <v>100</v>
      </c>
      <c r="K16" s="430">
        <f t="shared" si="1"/>
        <v>100</v>
      </c>
      <c r="L16" s="430">
        <f t="shared" si="1"/>
        <v>100</v>
      </c>
      <c r="M16" s="430">
        <f t="shared" si="1"/>
        <v>100</v>
      </c>
      <c r="N16" s="426">
        <f t="shared" si="1"/>
        <v>100</v>
      </c>
      <c r="O16" s="422">
        <f>SUM(G16:N16)</f>
        <v>800</v>
      </c>
      <c r="P16" s="422">
        <f>+O16/8</f>
        <v>100</v>
      </c>
      <c r="Q16" s="89"/>
      <c r="R16" s="33"/>
    </row>
    <row r="17" spans="1:18" ht="10.5" customHeight="1">
      <c r="A17" s="29"/>
      <c r="B17" s="509"/>
      <c r="C17" s="598"/>
      <c r="D17" s="599"/>
      <c r="E17" s="599"/>
      <c r="F17" s="599"/>
      <c r="G17" s="429"/>
      <c r="H17" s="431"/>
      <c r="I17" s="431"/>
      <c r="J17" s="431"/>
      <c r="K17" s="431"/>
      <c r="L17" s="431"/>
      <c r="M17" s="431"/>
      <c r="N17" s="427"/>
      <c r="O17" s="422"/>
      <c r="P17" s="422"/>
      <c r="Q17" s="30"/>
      <c r="R17" s="29"/>
    </row>
    <row r="18" spans="1:18" ht="23.25" customHeight="1">
      <c r="A18" s="29"/>
      <c r="B18" s="590" t="str">
        <f>+IF(Selections!$B$14="&lt; 70 km/hr","Restricted Flow","Free Flow")</f>
        <v>Restricted Flow</v>
      </c>
      <c r="C18" s="591"/>
      <c r="D18" s="591"/>
      <c r="E18" s="591"/>
      <c r="F18" s="592"/>
      <c r="G18" s="7" t="s">
        <v>216</v>
      </c>
      <c r="H18" s="7"/>
      <c r="I18" s="7"/>
      <c r="J18" s="7"/>
      <c r="K18" s="7"/>
      <c r="L18" s="8" t="s">
        <v>6</v>
      </c>
      <c r="M18" s="25" t="str">
        <f>+IF(AND($P$13&gt;=100,$P$16&gt;=100),"TRUE","FALSE")</f>
        <v>TRUE</v>
      </c>
      <c r="N18" s="8" t="s">
        <v>7</v>
      </c>
      <c r="O18" s="25" t="str">
        <f>+IF(OR($P$13&lt;100,$P$16&lt;100),"TRUE","FALSE")</f>
        <v>FALSE</v>
      </c>
      <c r="P18" s="9"/>
      <c r="Q18" s="30"/>
      <c r="R18" s="29"/>
    </row>
    <row r="19" spans="1:18" ht="12" customHeight="1">
      <c r="A19" s="29"/>
      <c r="B19" s="554" t="s">
        <v>215</v>
      </c>
      <c r="C19" s="555"/>
      <c r="D19" s="555"/>
      <c r="E19" s="555"/>
      <c r="F19" s="556"/>
      <c r="G19" s="11" t="s">
        <v>217</v>
      </c>
      <c r="H19" s="11"/>
      <c r="I19" s="11"/>
      <c r="J19" s="11"/>
      <c r="K19" s="11"/>
      <c r="L19" s="12" t="s">
        <v>6</v>
      </c>
      <c r="M19" s="26" t="str">
        <f>+IF(OR($P$13&lt;100,$P$16&lt;100),IF(OR($P$13&lt;80,$P$16&lt;80),"FALSE","TRUE"),IF(OR($P$13=100,$P$16=100),"TRUE","FALSE"))</f>
        <v>TRUE</v>
      </c>
      <c r="N19" s="12" t="s">
        <v>7</v>
      </c>
      <c r="O19" s="26" t="str">
        <f>+IF(M19="TRUE","FALSE","TRUE")</f>
        <v>FALSE</v>
      </c>
      <c r="P19" s="13"/>
      <c r="Q19" s="30"/>
      <c r="R19" s="29"/>
    </row>
    <row r="20" spans="1:18" ht="8.25" customHeight="1">
      <c r="A20" s="29"/>
      <c r="B20" s="557"/>
      <c r="C20" s="558"/>
      <c r="D20" s="558"/>
      <c r="E20" s="558"/>
      <c r="F20" s="559"/>
      <c r="G20" s="14"/>
      <c r="H20" s="15"/>
      <c r="I20" s="15"/>
      <c r="J20" s="15"/>
      <c r="K20" s="15"/>
      <c r="L20" s="15"/>
      <c r="M20" s="15"/>
      <c r="N20" s="15"/>
      <c r="O20" s="15"/>
      <c r="P20" s="16"/>
      <c r="Q20" s="30"/>
      <c r="R20" s="29"/>
    </row>
    <row r="21" spans="1:18" s="3" customFormat="1" ht="11.25" customHeight="1" hidden="1">
      <c r="A21" s="33"/>
      <c r="B21" s="85"/>
      <c r="C21" s="88"/>
      <c r="D21" s="88"/>
      <c r="E21" s="88"/>
      <c r="F21" s="88"/>
      <c r="G21" s="243"/>
      <c r="H21" s="243"/>
      <c r="I21" s="243"/>
      <c r="J21" s="243"/>
      <c r="K21" s="243"/>
      <c r="L21" s="243"/>
      <c r="M21" s="243"/>
      <c r="N21" s="243"/>
      <c r="O21" s="243"/>
      <c r="P21" s="243"/>
      <c r="Q21" s="89"/>
      <c r="R21" s="33"/>
    </row>
    <row r="22" spans="1:18" ht="11.25" hidden="1">
      <c r="A22" s="29"/>
      <c r="B22" s="29"/>
      <c r="C22" s="29"/>
      <c r="D22" s="29"/>
      <c r="E22" s="29"/>
      <c r="F22" s="29"/>
      <c r="G22" s="29"/>
      <c r="H22" s="29"/>
      <c r="I22" s="29"/>
      <c r="J22" s="29"/>
      <c r="K22" s="29"/>
      <c r="L22" s="29"/>
      <c r="M22" s="29"/>
      <c r="N22" s="29"/>
      <c r="O22" s="29"/>
      <c r="P22" s="29"/>
      <c r="Q22" s="224"/>
      <c r="R22" s="29"/>
    </row>
    <row r="23" spans="1:18" ht="11.25">
      <c r="A23" s="29"/>
      <c r="B23" s="29"/>
      <c r="C23" s="29"/>
      <c r="D23" s="29"/>
      <c r="E23" s="29"/>
      <c r="F23" s="29"/>
      <c r="G23" s="29"/>
      <c r="H23" s="29"/>
      <c r="I23" s="29"/>
      <c r="J23" s="29"/>
      <c r="K23" s="29"/>
      <c r="L23" s="29"/>
      <c r="M23" s="29"/>
      <c r="N23" s="29"/>
      <c r="O23" s="29"/>
      <c r="P23" s="29"/>
      <c r="Q23" s="30"/>
      <c r="R23" s="29"/>
    </row>
    <row r="24" spans="1:18" ht="24" customHeight="1">
      <c r="A24" s="29"/>
      <c r="B24" s="549" t="s">
        <v>175</v>
      </c>
      <c r="C24" s="549"/>
      <c r="D24" s="549"/>
      <c r="E24" s="549"/>
      <c r="F24" s="549"/>
      <c r="G24" s="549"/>
      <c r="H24" s="549"/>
      <c r="I24" s="29"/>
      <c r="J24" s="29"/>
      <c r="K24" s="29"/>
      <c r="L24" s="29"/>
      <c r="M24" s="29"/>
      <c r="N24" s="29"/>
      <c r="O24" s="29"/>
      <c r="P24" s="29"/>
      <c r="Q24" s="30"/>
      <c r="R24" s="29"/>
    </row>
    <row r="25" spans="1:18" ht="7.5" customHeight="1">
      <c r="A25" s="29"/>
      <c r="B25" s="31"/>
      <c r="C25" s="29"/>
      <c r="D25" s="29"/>
      <c r="E25" s="29"/>
      <c r="F25" s="29"/>
      <c r="G25" s="29"/>
      <c r="H25" s="29"/>
      <c r="I25" s="29"/>
      <c r="J25" s="29"/>
      <c r="K25" s="29"/>
      <c r="L25" s="29"/>
      <c r="M25" s="29"/>
      <c r="N25" s="29"/>
      <c r="O25" s="29"/>
      <c r="P25" s="29"/>
      <c r="Q25" s="30"/>
      <c r="R25" s="29"/>
    </row>
    <row r="26" spans="1:18" ht="12.75">
      <c r="A26" s="29"/>
      <c r="B26" s="446" t="str">
        <f>+IF(Selections!$B$14="&lt; 70 km/hr","Restricted Flow Urban Conditions","Free Flow Rural Conditions")</f>
        <v>Restricted Flow Urban Conditions</v>
      </c>
      <c r="C26" s="446"/>
      <c r="D26" s="446"/>
      <c r="E26" s="446"/>
      <c r="F26" s="446"/>
      <c r="G26" s="29"/>
      <c r="H26" s="29"/>
      <c r="I26" s="29"/>
      <c r="J26" s="29"/>
      <c r="K26" s="29"/>
      <c r="L26" s="29"/>
      <c r="M26" s="29"/>
      <c r="N26" s="29"/>
      <c r="O26" s="29"/>
      <c r="P26" s="29"/>
      <c r="Q26" s="30"/>
      <c r="R26" s="29"/>
    </row>
    <row r="27" spans="1:18" ht="11.25">
      <c r="A27" s="29"/>
      <c r="B27" s="32"/>
      <c r="C27" s="29"/>
      <c r="D27" s="29"/>
      <c r="E27" s="29"/>
      <c r="F27" s="29"/>
      <c r="G27" s="29"/>
      <c r="H27" s="29"/>
      <c r="I27" s="29"/>
      <c r="J27" s="29"/>
      <c r="K27" s="29"/>
      <c r="L27" s="29"/>
      <c r="M27" s="29"/>
      <c r="N27" s="29"/>
      <c r="O27" s="29"/>
      <c r="P27" s="29"/>
      <c r="Q27" s="30"/>
      <c r="R27" s="29"/>
    </row>
    <row r="28" spans="1:18" ht="21" customHeight="1">
      <c r="A28" s="29"/>
      <c r="B28" s="423" t="s">
        <v>4</v>
      </c>
      <c r="C28" s="432" t="s">
        <v>242</v>
      </c>
      <c r="D28" s="433"/>
      <c r="E28" s="433"/>
      <c r="F28" s="434"/>
      <c r="G28" s="435" t="s">
        <v>205</v>
      </c>
      <c r="H28" s="465"/>
      <c r="I28" s="465"/>
      <c r="J28" s="465"/>
      <c r="K28" s="465"/>
      <c r="L28" s="465"/>
      <c r="M28" s="465"/>
      <c r="N28" s="465"/>
      <c r="O28" s="423" t="s">
        <v>209</v>
      </c>
      <c r="P28" s="423" t="s">
        <v>226</v>
      </c>
      <c r="Q28" s="245"/>
      <c r="R28" s="246"/>
    </row>
    <row r="29" spans="1:18" ht="21" customHeight="1">
      <c r="A29" s="29"/>
      <c r="B29" s="423"/>
      <c r="C29" s="432" t="s">
        <v>212</v>
      </c>
      <c r="D29" s="434"/>
      <c r="E29" s="435" t="s">
        <v>213</v>
      </c>
      <c r="F29" s="436"/>
      <c r="G29" s="435" t="s">
        <v>5</v>
      </c>
      <c r="H29" s="465"/>
      <c r="I29" s="465"/>
      <c r="J29" s="465"/>
      <c r="K29" s="465"/>
      <c r="L29" s="465"/>
      <c r="M29" s="465"/>
      <c r="N29" s="465"/>
      <c r="O29" s="424"/>
      <c r="P29" s="424"/>
      <c r="Q29" s="247"/>
      <c r="R29" s="246"/>
    </row>
    <row r="30" spans="1:18" ht="22.5">
      <c r="A30" s="29"/>
      <c r="B30" s="232" t="s">
        <v>208</v>
      </c>
      <c r="C30" s="225" t="s">
        <v>206</v>
      </c>
      <c r="D30" s="225" t="s">
        <v>207</v>
      </c>
      <c r="E30" s="225" t="s">
        <v>206</v>
      </c>
      <c r="F30" s="225" t="s">
        <v>207</v>
      </c>
      <c r="G30" s="449">
        <f>+'Input Data'!$B$23</f>
        <v>0.2916666666666667</v>
      </c>
      <c r="H30" s="449">
        <f>+'Input Data'!$B$24</f>
        <v>0.3333333333333333</v>
      </c>
      <c r="I30" s="449">
        <f>+'Input Data'!$B$25</f>
        <v>0.375</v>
      </c>
      <c r="J30" s="449">
        <f>+'Input Data'!$B$26</f>
        <v>0.5</v>
      </c>
      <c r="K30" s="449">
        <f>+'Input Data'!$B$27</f>
        <v>0.5416666666666666</v>
      </c>
      <c r="L30" s="449">
        <f>+'Input Data'!$B$28</f>
        <v>0.6666666666666666</v>
      </c>
      <c r="M30" s="449">
        <f>+'Input Data'!$B$29</f>
        <v>0.7083333333333334</v>
      </c>
      <c r="N30" s="459">
        <f>+'Input Data'!$B$30</f>
        <v>0.75</v>
      </c>
      <c r="O30" s="251"/>
      <c r="P30" s="236"/>
      <c r="Q30" s="248"/>
      <c r="R30" s="246"/>
    </row>
    <row r="31" spans="1:18" ht="11.25">
      <c r="A31" s="29"/>
      <c r="B31" s="233"/>
      <c r="C31" s="231" t="b">
        <f>+IF(AND(Selections!$B$6="1",Selections!$C$14="RURAL"),TRUE,FALSE)</f>
        <v>0</v>
      </c>
      <c r="D31" s="231" t="b">
        <f>+IF(AND(Selections!$B$6="1",Selections!$C$14="URBAN"),TRUE,FALSE)</f>
        <v>0</v>
      </c>
      <c r="E31" s="231" t="b">
        <f>+IF(AND(Selections!$B$6="2 or more",Selections!$C$14="RURAL"),TRUE,FALSE)</f>
        <v>0</v>
      </c>
      <c r="F31" s="231" t="b">
        <f>+IF(AND(Selections!$B$6="2 or more",Selections!$C$14="Urban"),TRUE,FALSE)</f>
        <v>1</v>
      </c>
      <c r="G31" s="449"/>
      <c r="H31" s="449"/>
      <c r="I31" s="449"/>
      <c r="J31" s="449"/>
      <c r="K31" s="449"/>
      <c r="L31" s="449"/>
      <c r="M31" s="449"/>
      <c r="N31" s="459"/>
      <c r="O31" s="252"/>
      <c r="P31" s="241"/>
      <c r="Q31" s="248"/>
      <c r="R31" s="246"/>
    </row>
    <row r="32" spans="1:18" ht="21.75" customHeight="1">
      <c r="A32" s="29"/>
      <c r="B32" s="423" t="s">
        <v>9</v>
      </c>
      <c r="C32" s="244">
        <v>480</v>
      </c>
      <c r="D32" s="244">
        <v>720</v>
      </c>
      <c r="E32" s="244">
        <v>600</v>
      </c>
      <c r="F32" s="234">
        <v>900</v>
      </c>
      <c r="G32" s="337">
        <f aca="true" t="shared" si="2" ref="G32:N32">G12-G15</f>
        <v>5200</v>
      </c>
      <c r="H32" s="338">
        <f t="shared" si="2"/>
        <v>5199</v>
      </c>
      <c r="I32" s="338">
        <f t="shared" si="2"/>
        <v>1200</v>
      </c>
      <c r="J32" s="338">
        <f t="shared" si="2"/>
        <v>1200</v>
      </c>
      <c r="K32" s="338">
        <f t="shared" si="2"/>
        <v>1200</v>
      </c>
      <c r="L32" s="338">
        <f t="shared" si="2"/>
        <v>1200</v>
      </c>
      <c r="M32" s="338">
        <f t="shared" si="2"/>
        <v>1200</v>
      </c>
      <c r="N32" s="344">
        <f t="shared" si="2"/>
        <v>1200</v>
      </c>
      <c r="O32" s="345"/>
      <c r="P32" s="346"/>
      <c r="Q32" s="249"/>
      <c r="R32" s="246"/>
    </row>
    <row r="33" spans="1:18" ht="10.5" customHeight="1">
      <c r="A33" s="29"/>
      <c r="B33" s="423"/>
      <c r="C33" s="560" t="s">
        <v>214</v>
      </c>
      <c r="D33" s="560"/>
      <c r="E33" s="560"/>
      <c r="F33" s="561"/>
      <c r="G33" s="428">
        <f aca="true" t="shared" si="3" ref="G33:N33">+IF((IF($C$31=TRUE,G32*100/$C$32,IF($D$31=TRUE,G32*100/$D$32,IF($E$31=TRUE,G32*100/$E$32,G32*100/$F$32))))&gt;=100,100,(IF($C$31=TRUE,G32*100/$C$32,IF($D$31=TRUE,G32*100/$D$32,IF($E$31=TRUE,G32*100/$E$32,G32*100/$F$32)))))</f>
        <v>100</v>
      </c>
      <c r="H33" s="430">
        <f t="shared" si="3"/>
        <v>100</v>
      </c>
      <c r="I33" s="430">
        <f t="shared" si="3"/>
        <v>100</v>
      </c>
      <c r="J33" s="430">
        <f t="shared" si="3"/>
        <v>100</v>
      </c>
      <c r="K33" s="430">
        <f t="shared" si="3"/>
        <v>100</v>
      </c>
      <c r="L33" s="430">
        <f t="shared" si="3"/>
        <v>100</v>
      </c>
      <c r="M33" s="430">
        <f t="shared" si="3"/>
        <v>100</v>
      </c>
      <c r="N33" s="426">
        <f t="shared" si="3"/>
        <v>100</v>
      </c>
      <c r="O33" s="425">
        <f>SUM(G33:N33)</f>
        <v>800</v>
      </c>
      <c r="P33" s="425">
        <f>+O33/8</f>
        <v>100</v>
      </c>
      <c r="Q33" s="250"/>
      <c r="R33" s="246"/>
    </row>
    <row r="34" spans="1:18" ht="10.5" customHeight="1">
      <c r="A34" s="29"/>
      <c r="B34" s="423"/>
      <c r="C34" s="560"/>
      <c r="D34" s="560"/>
      <c r="E34" s="560"/>
      <c r="F34" s="561"/>
      <c r="G34" s="429"/>
      <c r="H34" s="431"/>
      <c r="I34" s="431"/>
      <c r="J34" s="431"/>
      <c r="K34" s="431"/>
      <c r="L34" s="431"/>
      <c r="M34" s="431"/>
      <c r="N34" s="427"/>
      <c r="O34" s="422"/>
      <c r="P34" s="422"/>
      <c r="Q34" s="248"/>
      <c r="R34" s="246"/>
    </row>
    <row r="35" spans="1:18" ht="21.75" customHeight="1">
      <c r="A35" s="29"/>
      <c r="B35" s="423" t="s">
        <v>10</v>
      </c>
      <c r="C35" s="244">
        <v>50</v>
      </c>
      <c r="D35" s="244">
        <v>75</v>
      </c>
      <c r="E35" s="244">
        <v>50</v>
      </c>
      <c r="F35" s="244">
        <v>75</v>
      </c>
      <c r="G35" s="337">
        <f>+'Input Data'!$G$23+'Input Data'!$M$23+'Input Data'!$P$23+IF('Input Data'!$H$23&gt;'Input Data'!$N$23,'Input Data'!$H$23,'Input Data'!$N$23)+IF(AND(('Input Data'!$D$23&gt;='Input Data'!$J$23),('Input Data'!$D$23&gt;120),('Input Data'!$D$23+'Input Data'!$J$23+'Input Data'!$K$23&gt;720)),0.5*'Input Data'!$D$23,IF(AND(('Input Data'!$D$23&lt;'Input Data'!$J$23),('Input Data'!$J$23&gt;120),('Input Data'!$D$23+'Input Data'!$J$23+'Input Data'!$E$23&gt;720)),0.5*'Input Data'!$J$23,0))</f>
        <v>750</v>
      </c>
      <c r="H35" s="338">
        <f>+'Input Data'!$G$24+'Input Data'!$M$24+'Input Data'!$P$24+IF('Input Data'!$H$24&gt;'Input Data'!$N$24,'Input Data'!$H$24,'Input Data'!$N$24)+IF(AND(('Input Data'!$D$24&gt;='Input Data'!$J$24),('Input Data'!$D$24&gt;120),('Input Data'!$D$24+'Input Data'!$J$24+'Input Data'!$K$24&gt;720)),0.5*'Input Data'!$D$24,IF(AND(('Input Data'!$D$24&lt;'Input Data'!$J$24),('Input Data'!$J$24&gt;120),('Input Data'!$D$24+'Input Data'!$J$24+'Input Data'!$E$24&gt;720)),0.5*'Input Data'!$J$24,0))</f>
        <v>750</v>
      </c>
      <c r="I35" s="338">
        <f>+'Input Data'!$G$25+'Input Data'!$M$25+'Input Data'!$P$25+IF('Input Data'!$H$25&gt;'Input Data'!$N$25,'Input Data'!$H$25,'Input Data'!$N$25)+IF(AND(('Input Data'!$D$25&gt;='Input Data'!$J$25),('Input Data'!$D$25&gt;120),('Input Data'!$D$25+'Input Data'!$J$25+'Input Data'!$K$25&gt;720)),0.5*'Input Data'!$D$25,IF(AND(('Input Data'!$D$25&lt;'Input Data'!$J$25),('Input Data'!$J$25&gt;120),('Input Data'!$D$25+'Input Data'!$J$25+'Input Data'!$E$25&gt;720)),0.5*'Input Data'!$J$25,0))</f>
        <v>750</v>
      </c>
      <c r="J35" s="338">
        <f>+'Input Data'!$G$26+'Input Data'!$M$26+'Input Data'!$P$26+IF('Input Data'!$H$26&gt;'Input Data'!$N$26,'Input Data'!$H$26,'Input Data'!$N$26)+IF(AND(('Input Data'!$D$26&gt;='Input Data'!$J$26),('Input Data'!$D$26&gt;120),('Input Data'!$D$26+'Input Data'!$J$26+'Input Data'!$K$26&gt;720)),0.5*'Input Data'!$D$26,IF(AND(('Input Data'!$D$26&lt;'Input Data'!$J$26),('Input Data'!$J$26&gt;120),('Input Data'!$D$26+'Input Data'!$J$26+'Input Data'!$E$26&gt;720)),0.5*'Input Data'!$J$26,0))</f>
        <v>750</v>
      </c>
      <c r="K35" s="338">
        <f>+'Input Data'!$G$27+'Input Data'!$M$27+'Input Data'!$P$27+IF('Input Data'!$H$27&gt;'Input Data'!$N$27,'Input Data'!$H$27,'Input Data'!$N$27)+IF(AND(('Input Data'!$D$27&gt;='Input Data'!$J$27),('Input Data'!$D$27&gt;120),('Input Data'!$D$27+'Input Data'!$J$27+'Input Data'!$K$27&gt;720)),0.5*'Input Data'!$D$27,IF(AND(('Input Data'!$D$27&lt;'Input Data'!$J$27),('Input Data'!$J$27&gt;120),('Input Data'!$D$27+'Input Data'!$J$27+'Input Data'!$E$27&gt;720)),0.5*'Input Data'!$J$27,0))</f>
        <v>750</v>
      </c>
      <c r="L35" s="338">
        <f>+'Input Data'!$G$28+'Input Data'!$M$28+'Input Data'!$P$28+IF('Input Data'!$H$28&gt;'Input Data'!$N$28,'Input Data'!$H$28,'Input Data'!$N$28)+IF(AND(('Input Data'!$D$28&gt;='Input Data'!$J$28),('Input Data'!$D$28&gt;120),('Input Data'!$D$28+'Input Data'!$J$28+'Input Data'!$K$28&gt;720)),0.5*'Input Data'!$D$28,IF(AND(('Input Data'!$D$28&lt;'Input Data'!$J$28),('Input Data'!$J$28&gt;120),('Input Data'!$D$28+'Input Data'!$J$28+'Input Data'!$E$28&gt;720)),0.5*'Input Data'!$J$28,0))</f>
        <v>750</v>
      </c>
      <c r="M35" s="338">
        <f>+'Input Data'!$G$29+'Input Data'!$M$29+'Input Data'!$P$29+IF('Input Data'!$H$29&gt;'Input Data'!$N$29,'Input Data'!$H$29,'Input Data'!$N$29)+IF(AND(('Input Data'!$D$29&gt;='Input Data'!$J$29),('Input Data'!$D$29&gt;120),('Input Data'!$D$29+'Input Data'!$J$29+'Input Data'!$K$29&gt;720)),0.5*'Input Data'!$D$29,IF(AND(('Input Data'!$D$29&lt;'Input Data'!$J$29),('Input Data'!$J$29&gt;120),('Input Data'!$D$29+'Input Data'!$J$29+'Input Data'!$E$29&gt;720)),0.5*'Input Data'!$J$29,0))</f>
        <v>750</v>
      </c>
      <c r="N35" s="339">
        <f>+'Input Data'!$G$30+'Input Data'!$M$30+'Input Data'!$P$30+IF('Input Data'!$H$30&gt;'Input Data'!$N$30,'Input Data'!$H$30,'Input Data'!$N$30)+IF(AND(('Input Data'!$D$30&gt;='Input Data'!$J$30),('Input Data'!$D$30&gt;120),('Input Data'!$D$30+'Input Data'!$J$30+'Input Data'!$K$30&gt;720)),0.5*'Input Data'!$D$30,IF(AND(('Input Data'!$D$30&lt;'Input Data'!$J$30),('Input Data'!$J$30&gt;120),('Input Data'!$D$30+'Input Data'!$J$30+'Input Data'!$E$30&gt;720)),0.5*'Input Data'!$J$30,0))</f>
        <v>750</v>
      </c>
      <c r="O35" s="347"/>
      <c r="P35" s="348"/>
      <c r="Q35" s="249"/>
      <c r="R35" s="246"/>
    </row>
    <row r="36" spans="1:18" ht="10.5" customHeight="1">
      <c r="A36" s="29"/>
      <c r="B36" s="423"/>
      <c r="C36" s="560" t="s">
        <v>214</v>
      </c>
      <c r="D36" s="560"/>
      <c r="E36" s="560"/>
      <c r="F36" s="560"/>
      <c r="G36" s="428">
        <f>+IF((IF($C$31=TRUE,G35*100/$C$35,IF($D$31=TRUE,G35*100/$D$35,IF($E$31=TRUE,G35*100/$E$35,G35*100/$F$35))))&gt;=100,100,(IF($C$31=TRUE,G35*100/$C$35,IF($D$31=TRUE,G35*100/$D$35,IF($E$31=TRUE,G35*100/$E$35,G35*100/$F$35)))))</f>
        <v>100</v>
      </c>
      <c r="H36" s="430">
        <f aca="true" t="shared" si="4" ref="H36:N36">+IF((IF($C$31=TRUE,H35*100/$C$35,IF($D$31=TRUE,H35*100/$D$35,IF($E$31=TRUE,H35*100/$E$35,H35*100/$F$35))))&gt;=100,100,(IF($C$31=TRUE,H35*100/$C$35,IF($D$31=TRUE,H35*100/$D$35,IF($E$31=TRUE,H35*100/$E$35,H35*100/$F$35)))))</f>
        <v>100</v>
      </c>
      <c r="I36" s="430">
        <f t="shared" si="4"/>
        <v>100</v>
      </c>
      <c r="J36" s="430">
        <f t="shared" si="4"/>
        <v>100</v>
      </c>
      <c r="K36" s="430">
        <f t="shared" si="4"/>
        <v>100</v>
      </c>
      <c r="L36" s="430">
        <f t="shared" si="4"/>
        <v>100</v>
      </c>
      <c r="M36" s="430">
        <f t="shared" si="4"/>
        <v>100</v>
      </c>
      <c r="N36" s="426">
        <f t="shared" si="4"/>
        <v>100</v>
      </c>
      <c r="O36" s="422">
        <f>SUM(G36:N36)</f>
        <v>800</v>
      </c>
      <c r="P36" s="422">
        <f>+O36/8</f>
        <v>100</v>
      </c>
      <c r="Q36" s="248"/>
      <c r="R36" s="246"/>
    </row>
    <row r="37" spans="1:18" ht="10.5" customHeight="1">
      <c r="A37" s="29"/>
      <c r="B37" s="423"/>
      <c r="C37" s="560"/>
      <c r="D37" s="560"/>
      <c r="E37" s="560"/>
      <c r="F37" s="560"/>
      <c r="G37" s="429"/>
      <c r="H37" s="431"/>
      <c r="I37" s="431"/>
      <c r="J37" s="431"/>
      <c r="K37" s="431"/>
      <c r="L37" s="431"/>
      <c r="M37" s="431"/>
      <c r="N37" s="427"/>
      <c r="O37" s="422"/>
      <c r="P37" s="422"/>
      <c r="Q37" s="250"/>
      <c r="R37" s="246"/>
    </row>
    <row r="38" spans="1:18" ht="23.25" customHeight="1">
      <c r="A38" s="29"/>
      <c r="B38" s="590" t="str">
        <f>+IF(Selections!$B$14="&lt; 70 km/hr","Restricted Flow","Free Flow")</f>
        <v>Restricted Flow</v>
      </c>
      <c r="C38" s="591"/>
      <c r="D38" s="591"/>
      <c r="E38" s="591"/>
      <c r="F38" s="592"/>
      <c r="G38" s="6" t="s">
        <v>11</v>
      </c>
      <c r="H38" s="7"/>
      <c r="I38" s="7"/>
      <c r="J38" s="7"/>
      <c r="K38" s="7"/>
      <c r="L38" s="8" t="s">
        <v>6</v>
      </c>
      <c r="M38" s="25" t="str">
        <f>+IF(AND($P$33&gt;=100,$P$36&gt;=100),"TRUE","FALSE")</f>
        <v>TRUE</v>
      </c>
      <c r="N38" s="8" t="s">
        <v>7</v>
      </c>
      <c r="O38" s="25" t="str">
        <f>+IF(OR($P$33&lt;100,$P$36&lt;100),"TRUE","FALSE")</f>
        <v>FALSE</v>
      </c>
      <c r="P38" s="7"/>
      <c r="Q38" s="248"/>
      <c r="R38" s="246"/>
    </row>
    <row r="39" spans="1:18" ht="12" customHeight="1">
      <c r="A39" s="29"/>
      <c r="B39" s="554" t="s">
        <v>25</v>
      </c>
      <c r="C39" s="555"/>
      <c r="D39" s="555"/>
      <c r="E39" s="555"/>
      <c r="F39" s="556"/>
      <c r="G39" s="10" t="s">
        <v>12</v>
      </c>
      <c r="H39" s="11"/>
      <c r="I39" s="11"/>
      <c r="J39" s="11"/>
      <c r="K39" s="11"/>
      <c r="L39" s="12" t="s">
        <v>6</v>
      </c>
      <c r="M39" s="26" t="str">
        <f>+IF(OR($P$33&lt;100,$P$36&lt;100),IF(OR($P$33&lt;80,$P$36&lt;80),"FALSE","TRUE"),IF(OR($P$33=100,$P$36=100),"TRUE","FALSE"))</f>
        <v>TRUE</v>
      </c>
      <c r="N39" s="12" t="s">
        <v>7</v>
      </c>
      <c r="O39" s="26" t="str">
        <f>+IF(M39="TRUE","FALSE","TRUE")</f>
        <v>FALSE</v>
      </c>
      <c r="P39" s="11"/>
      <c r="Q39" s="248"/>
      <c r="R39" s="246"/>
    </row>
    <row r="40" spans="1:18" ht="8.25" customHeight="1">
      <c r="A40" s="29"/>
      <c r="B40" s="557"/>
      <c r="C40" s="558"/>
      <c r="D40" s="558"/>
      <c r="E40" s="558"/>
      <c r="F40" s="559"/>
      <c r="G40" s="14"/>
      <c r="H40" s="15"/>
      <c r="I40" s="15"/>
      <c r="J40" s="15"/>
      <c r="K40" s="15"/>
      <c r="L40" s="15"/>
      <c r="M40" s="15"/>
      <c r="N40" s="15"/>
      <c r="O40" s="15"/>
      <c r="P40" s="15"/>
      <c r="Q40" s="248"/>
      <c r="R40" s="246"/>
    </row>
    <row r="41" spans="1:18" ht="11.25">
      <c r="A41" s="29"/>
      <c r="B41" s="29"/>
      <c r="C41" s="29"/>
      <c r="D41" s="29"/>
      <c r="E41" s="29"/>
      <c r="F41" s="29"/>
      <c r="G41" s="29"/>
      <c r="H41" s="29"/>
      <c r="I41" s="29"/>
      <c r="J41" s="29"/>
      <c r="K41" s="29"/>
      <c r="L41" s="29"/>
      <c r="M41" s="29"/>
      <c r="N41" s="29"/>
      <c r="O41" s="29"/>
      <c r="P41" s="29"/>
      <c r="Q41" s="30"/>
      <c r="R41" s="29"/>
    </row>
    <row r="42" spans="1:18" ht="11.25">
      <c r="A42" s="29"/>
      <c r="B42" s="29"/>
      <c r="C42" s="29"/>
      <c r="D42" s="29"/>
      <c r="E42" s="29"/>
      <c r="F42" s="29"/>
      <c r="G42" s="29"/>
      <c r="H42" s="29"/>
      <c r="I42" s="29"/>
      <c r="J42" s="29"/>
      <c r="K42" s="29"/>
      <c r="L42" s="29"/>
      <c r="M42" s="29"/>
      <c r="N42" s="29"/>
      <c r="O42" s="29"/>
      <c r="P42" s="29"/>
      <c r="Q42" s="30"/>
      <c r="R42" s="29"/>
    </row>
    <row r="43" spans="1:18" s="17" customFormat="1" ht="15.75">
      <c r="A43" s="29"/>
      <c r="B43" s="549" t="s">
        <v>176</v>
      </c>
      <c r="C43" s="549"/>
      <c r="D43" s="549"/>
      <c r="E43" s="549"/>
      <c r="F43" s="549"/>
      <c r="G43" s="549"/>
      <c r="H43" s="549"/>
      <c r="I43" s="29"/>
      <c r="J43" s="29"/>
      <c r="K43" s="29"/>
      <c r="L43" s="29"/>
      <c r="M43" s="29"/>
      <c r="N43" s="29"/>
      <c r="O43" s="29"/>
      <c r="P43" s="29"/>
      <c r="Q43" s="30"/>
      <c r="R43" s="29"/>
    </row>
    <row r="44" spans="1:18" s="17" customFormat="1" ht="12.75">
      <c r="A44" s="29"/>
      <c r="B44" s="31"/>
      <c r="C44" s="29"/>
      <c r="D44" s="29"/>
      <c r="E44" s="29"/>
      <c r="F44" s="29"/>
      <c r="G44" s="29"/>
      <c r="H44" s="29"/>
      <c r="I44" s="29"/>
      <c r="J44" s="29"/>
      <c r="K44" s="29"/>
      <c r="L44" s="29"/>
      <c r="M44" s="29"/>
      <c r="N44" s="29"/>
      <c r="O44" s="29"/>
      <c r="P44" s="29"/>
      <c r="Q44" s="30"/>
      <c r="R44" s="29"/>
    </row>
    <row r="45" spans="1:18" ht="12.75">
      <c r="A45" s="29"/>
      <c r="B45" s="446" t="s">
        <v>130</v>
      </c>
      <c r="C45" s="446"/>
      <c r="D45" s="446"/>
      <c r="E45" s="446"/>
      <c r="F45" s="446"/>
      <c r="G45" s="29"/>
      <c r="H45" s="29"/>
      <c r="I45" s="29"/>
      <c r="J45" s="29"/>
      <c r="K45" s="29"/>
      <c r="L45" s="29"/>
      <c r="M45" s="29"/>
      <c r="N45" s="29"/>
      <c r="O45" s="29"/>
      <c r="P45" s="29"/>
      <c r="Q45" s="30"/>
      <c r="R45" s="29"/>
    </row>
    <row r="46" spans="1:18" ht="11.25">
      <c r="A46" s="29"/>
      <c r="B46" s="29"/>
      <c r="C46" s="29"/>
      <c r="D46" s="29"/>
      <c r="E46" s="29"/>
      <c r="F46" s="29"/>
      <c r="G46" s="29"/>
      <c r="H46" s="29"/>
      <c r="I46" s="29"/>
      <c r="J46" s="29"/>
      <c r="K46" s="29"/>
      <c r="L46" s="29"/>
      <c r="M46" s="29"/>
      <c r="N46" s="29"/>
      <c r="O46" s="29"/>
      <c r="P46" s="29"/>
      <c r="Q46" s="30"/>
      <c r="R46" s="29"/>
    </row>
    <row r="47" spans="1:18" ht="22.5" customHeight="1">
      <c r="A47" s="29"/>
      <c r="B47" s="550" t="s">
        <v>126</v>
      </c>
      <c r="C47" s="553"/>
      <c r="D47" s="553"/>
      <c r="E47" s="553"/>
      <c r="F47" s="553"/>
      <c r="G47" s="553"/>
      <c r="H47" s="553"/>
      <c r="I47" s="525" t="s">
        <v>129</v>
      </c>
      <c r="J47" s="525"/>
      <c r="K47" s="525"/>
      <c r="L47" s="525"/>
      <c r="M47" s="29"/>
      <c r="N47" s="29"/>
      <c r="O47" s="29"/>
      <c r="P47" s="29"/>
      <c r="Q47" s="30"/>
      <c r="R47" s="29"/>
    </row>
    <row r="48" spans="1:18" s="120" customFormat="1" ht="25.5" customHeight="1">
      <c r="A48" s="119"/>
      <c r="B48" s="222" t="s">
        <v>227</v>
      </c>
      <c r="C48" s="525" t="s">
        <v>127</v>
      </c>
      <c r="D48" s="553"/>
      <c r="E48" s="553"/>
      <c r="F48" s="553"/>
      <c r="G48" s="226" t="str">
        <f>+IF(M19="TRUE","TRUE","FALSE")</f>
        <v>TRUE</v>
      </c>
      <c r="H48" s="226" t="str">
        <f>+IF(G48="TRUE","FALSE","TRUE")</f>
        <v>FALSE</v>
      </c>
      <c r="I48" s="229" t="s">
        <v>115</v>
      </c>
      <c r="J48" s="230" t="str">
        <f>+IF(AND(G48="TRUE",G49="TRUE"),"TRUE","FALSE")</f>
        <v>TRUE</v>
      </c>
      <c r="K48" s="228" t="s">
        <v>116</v>
      </c>
      <c r="L48" s="227" t="str">
        <f>+IF(J48="TRUE","FALSE","TRUE")</f>
        <v>FALSE</v>
      </c>
      <c r="M48" s="119"/>
      <c r="N48" s="119"/>
      <c r="O48" s="119"/>
      <c r="P48" s="119"/>
      <c r="Q48" s="35"/>
      <c r="R48" s="119"/>
    </row>
    <row r="49" spans="1:18" s="120" customFormat="1" ht="22.5" customHeight="1">
      <c r="A49" s="119"/>
      <c r="B49" s="223" t="s">
        <v>228</v>
      </c>
      <c r="C49" s="550" t="s">
        <v>128</v>
      </c>
      <c r="D49" s="550"/>
      <c r="E49" s="550"/>
      <c r="F49" s="550"/>
      <c r="G49" s="226" t="str">
        <f>+IF(M39="TRUE","TRUE","FALSE")</f>
        <v>TRUE</v>
      </c>
      <c r="H49" s="226" t="str">
        <f>+IF(G49="TRUE","FALSE","TRUE")</f>
        <v>FALSE</v>
      </c>
      <c r="I49" s="477" t="str">
        <f>+IF(J48="TRUE","JUSTIFIED","")</f>
        <v>JUSTIFIED</v>
      </c>
      <c r="J49" s="461"/>
      <c r="K49" s="460">
        <f>+IF(L48="TRUE","NOT JUSTIFIED","")</f>
      </c>
      <c r="L49" s="461"/>
      <c r="M49" s="119"/>
      <c r="N49" s="119"/>
      <c r="O49" s="119"/>
      <c r="P49" s="119"/>
      <c r="Q49" s="35"/>
      <c r="R49" s="119"/>
    </row>
    <row r="50" spans="1:18" ht="11.25">
      <c r="A50" s="29"/>
      <c r="B50" s="29"/>
      <c r="C50" s="29"/>
      <c r="D50" s="29"/>
      <c r="E50" s="29"/>
      <c r="F50" s="29"/>
      <c r="G50" s="29"/>
      <c r="H50" s="29"/>
      <c r="I50" s="29"/>
      <c r="J50" s="29"/>
      <c r="K50" s="29"/>
      <c r="L50" s="29"/>
      <c r="M50" s="29"/>
      <c r="N50" s="29"/>
      <c r="O50" s="29"/>
      <c r="P50" s="29"/>
      <c r="Q50" s="30"/>
      <c r="R50" s="29"/>
    </row>
    <row r="51" spans="1:18" ht="11.25">
      <c r="A51" s="29"/>
      <c r="B51" s="29"/>
      <c r="C51" s="29"/>
      <c r="D51" s="29"/>
      <c r="E51" s="29"/>
      <c r="F51" s="29"/>
      <c r="G51" s="29"/>
      <c r="H51" s="29"/>
      <c r="I51" s="29"/>
      <c r="J51" s="29"/>
      <c r="K51" s="29"/>
      <c r="L51" s="29"/>
      <c r="M51" s="29"/>
      <c r="N51" s="29"/>
      <c r="O51" s="29"/>
      <c r="P51" s="29"/>
      <c r="Q51" s="30"/>
      <c r="R51" s="29"/>
    </row>
    <row r="52" spans="1:18" ht="15.75">
      <c r="A52" s="29"/>
      <c r="B52" s="549" t="s">
        <v>177</v>
      </c>
      <c r="C52" s="549"/>
      <c r="D52" s="549"/>
      <c r="E52" s="549"/>
      <c r="F52" s="549"/>
      <c r="G52" s="549"/>
      <c r="H52" s="549"/>
      <c r="I52" s="29"/>
      <c r="J52" s="29"/>
      <c r="K52" s="29"/>
      <c r="L52" s="29"/>
      <c r="M52" s="29"/>
      <c r="N52" s="29"/>
      <c r="O52" s="29"/>
      <c r="P52" s="29"/>
      <c r="Q52" s="30"/>
      <c r="R52" s="29"/>
    </row>
    <row r="53" spans="1:18" ht="12.75">
      <c r="A53" s="29"/>
      <c r="B53" s="31"/>
      <c r="C53" s="29"/>
      <c r="D53" s="29"/>
      <c r="E53" s="29"/>
      <c r="F53" s="29"/>
      <c r="G53" s="29"/>
      <c r="H53" s="29"/>
      <c r="I53" s="29"/>
      <c r="J53" s="29"/>
      <c r="K53" s="29"/>
      <c r="L53" s="29"/>
      <c r="M53" s="29"/>
      <c r="N53" s="29"/>
      <c r="O53" s="29"/>
      <c r="P53" s="29"/>
      <c r="Q53" s="30"/>
      <c r="R53" s="29"/>
    </row>
    <row r="54" spans="1:18" ht="12.75" customHeight="1">
      <c r="A54" s="29"/>
      <c r="B54" s="538" t="s">
        <v>4</v>
      </c>
      <c r="C54" s="478" t="s">
        <v>3</v>
      </c>
      <c r="D54" s="479"/>
      <c r="E54" s="479"/>
      <c r="F54" s="480"/>
      <c r="G54" s="541" t="s">
        <v>230</v>
      </c>
      <c r="H54" s="542"/>
      <c r="I54" s="541" t="s">
        <v>149</v>
      </c>
      <c r="J54" s="542"/>
      <c r="K54" s="545" t="s">
        <v>231</v>
      </c>
      <c r="L54" s="546"/>
      <c r="M54" s="541" t="s">
        <v>143</v>
      </c>
      <c r="N54" s="542"/>
      <c r="O54" s="563" t="s">
        <v>165</v>
      </c>
      <c r="P54" s="542"/>
      <c r="Q54" s="30"/>
      <c r="R54" s="29"/>
    </row>
    <row r="55" spans="1:18" s="123" customFormat="1" ht="11.25" customHeight="1">
      <c r="A55" s="124"/>
      <c r="B55" s="539"/>
      <c r="C55" s="481"/>
      <c r="D55" s="482"/>
      <c r="E55" s="482"/>
      <c r="F55" s="483"/>
      <c r="G55" s="543"/>
      <c r="H55" s="544"/>
      <c r="I55" s="543"/>
      <c r="J55" s="544"/>
      <c r="K55" s="547"/>
      <c r="L55" s="548"/>
      <c r="M55" s="543"/>
      <c r="N55" s="544"/>
      <c r="O55" s="564"/>
      <c r="P55" s="544"/>
      <c r="Q55" s="126"/>
      <c r="R55" s="124"/>
    </row>
    <row r="56" spans="1:18" s="123" customFormat="1" ht="11.25">
      <c r="A56" s="124"/>
      <c r="B56" s="540"/>
      <c r="C56" s="484"/>
      <c r="D56" s="485"/>
      <c r="E56" s="485"/>
      <c r="F56" s="486"/>
      <c r="G56" s="551" t="s">
        <v>8</v>
      </c>
      <c r="H56" s="552"/>
      <c r="I56" s="551" t="s">
        <v>142</v>
      </c>
      <c r="J56" s="552"/>
      <c r="K56" s="551" t="s">
        <v>150</v>
      </c>
      <c r="L56" s="552"/>
      <c r="M56" s="583"/>
      <c r="N56" s="566"/>
      <c r="O56" s="565"/>
      <c r="P56" s="566"/>
      <c r="Q56" s="126"/>
      <c r="R56" s="124"/>
    </row>
    <row r="57" spans="1:18" ht="16.5" customHeight="1">
      <c r="A57" s="29"/>
      <c r="B57" s="424" t="s">
        <v>229</v>
      </c>
      <c r="C57" s="487">
        <v>0.2916666666666667</v>
      </c>
      <c r="D57" s="488"/>
      <c r="E57" s="488"/>
      <c r="F57" s="489"/>
      <c r="G57" s="577">
        <v>5200</v>
      </c>
      <c r="H57" s="578"/>
      <c r="I57" s="577">
        <v>550</v>
      </c>
      <c r="J57" s="578"/>
      <c r="K57" s="577">
        <f>+IF(G57&lt;Selections!$E$37,(Selections!$B$37+Selections!$C$37*G57+Selections!$D$37*G57^2),Selections!$F$37)</f>
        <v>115</v>
      </c>
      <c r="L57" s="578"/>
      <c r="M57" s="584">
        <f>+IF(K57=0,0,IF(I57/K57&gt;=1,100,I57/K57*100))</f>
        <v>100</v>
      </c>
      <c r="N57" s="585"/>
      <c r="O57" s="567">
        <f>AVERAGE(M57:N60)</f>
        <v>100</v>
      </c>
      <c r="P57" s="568"/>
      <c r="Q57" s="125"/>
      <c r="R57" s="29"/>
    </row>
    <row r="58" spans="1:18" ht="16.5" customHeight="1">
      <c r="A58" s="29"/>
      <c r="B58" s="508"/>
      <c r="C58" s="490">
        <v>0.3333333333333333</v>
      </c>
      <c r="D58" s="491"/>
      <c r="E58" s="491"/>
      <c r="F58" s="492"/>
      <c r="G58" s="573">
        <v>5199</v>
      </c>
      <c r="H58" s="574"/>
      <c r="I58" s="462">
        <v>550</v>
      </c>
      <c r="J58" s="463"/>
      <c r="K58" s="462">
        <f>+IF(G58&lt;Selections!$E$37,(Selections!$B$37+Selections!$C$37*G58+Selections!$D$37*G58^2),Selections!$F$37)</f>
        <v>115</v>
      </c>
      <c r="L58" s="463"/>
      <c r="M58" s="581">
        <f>+IF(K58=0,0,IF(I58/K58&gt;=1,100,I58/K58*100))</f>
        <v>100</v>
      </c>
      <c r="N58" s="582"/>
      <c r="O58" s="569"/>
      <c r="P58" s="570"/>
      <c r="Q58" s="125"/>
      <c r="R58" s="29"/>
    </row>
    <row r="59" spans="1:18" ht="16.5" customHeight="1">
      <c r="A59" s="29"/>
      <c r="B59" s="508"/>
      <c r="C59" s="490">
        <v>0.375</v>
      </c>
      <c r="D59" s="491"/>
      <c r="E59" s="491"/>
      <c r="F59" s="492"/>
      <c r="G59" s="573">
        <v>1200</v>
      </c>
      <c r="H59" s="574"/>
      <c r="I59" s="462">
        <v>550</v>
      </c>
      <c r="J59" s="463"/>
      <c r="K59" s="462">
        <f>+IF(G59&lt;Selections!$E$37,(Selections!$B$37+Selections!$C$37*G59+Selections!$D$37*G59^2),Selections!$F$37)</f>
        <v>137.2</v>
      </c>
      <c r="L59" s="463"/>
      <c r="M59" s="581">
        <f>+IF(K59=0,0,IF(I59/K59&gt;=1,100,I59/K59*100))</f>
        <v>100</v>
      </c>
      <c r="N59" s="582"/>
      <c r="O59" s="569"/>
      <c r="P59" s="570"/>
      <c r="Q59" s="125"/>
      <c r="R59" s="29"/>
    </row>
    <row r="60" spans="1:18" ht="16.5" customHeight="1">
      <c r="A60" s="29"/>
      <c r="B60" s="509"/>
      <c r="C60" s="593">
        <v>0.5</v>
      </c>
      <c r="D60" s="594"/>
      <c r="E60" s="594"/>
      <c r="F60" s="595"/>
      <c r="G60" s="575">
        <v>1200</v>
      </c>
      <c r="H60" s="576"/>
      <c r="I60" s="579">
        <v>550</v>
      </c>
      <c r="J60" s="580"/>
      <c r="K60" s="579">
        <f>+IF(G60&lt;Selections!$E$37,(Selections!$B$37+Selections!$C$37*G60+Selections!$D$37*G60^2),Selections!$F$37)</f>
        <v>137.2</v>
      </c>
      <c r="L60" s="580"/>
      <c r="M60" s="586">
        <f>+IF(K60=0,0,IF(I60/K60&gt;=1,100,I60/K60*100))</f>
        <v>100</v>
      </c>
      <c r="N60" s="587"/>
      <c r="O60" s="571"/>
      <c r="P60" s="572"/>
      <c r="Q60" s="125"/>
      <c r="R60" s="29"/>
    </row>
    <row r="61" spans="1:18" ht="12.75">
      <c r="A61" s="29"/>
      <c r="B61" s="125"/>
      <c r="C61" s="125"/>
      <c r="D61" s="125"/>
      <c r="E61" s="125"/>
      <c r="F61" s="125"/>
      <c r="G61" s="125"/>
      <c r="H61" s="125"/>
      <c r="I61" s="125"/>
      <c r="J61" s="125"/>
      <c r="K61" s="125"/>
      <c r="L61" s="125"/>
      <c r="M61" s="125"/>
      <c r="N61" s="125"/>
      <c r="O61" s="125"/>
      <c r="P61" s="125"/>
      <c r="Q61" s="125"/>
      <c r="R61" s="29"/>
    </row>
    <row r="62" spans="1:18" ht="12.75">
      <c r="A62" s="29"/>
      <c r="B62" s="125"/>
      <c r="C62" s="125"/>
      <c r="D62" s="125"/>
      <c r="E62" s="125"/>
      <c r="F62" s="125"/>
      <c r="G62" s="125"/>
      <c r="H62" s="125"/>
      <c r="I62" s="125"/>
      <c r="J62" s="125"/>
      <c r="K62" s="125"/>
      <c r="L62" s="125"/>
      <c r="M62" s="125"/>
      <c r="N62" s="125"/>
      <c r="O62" s="125"/>
      <c r="P62" s="125"/>
      <c r="Q62" s="125"/>
      <c r="R62" s="29"/>
    </row>
    <row r="63" ht="11.25">
      <c r="G63" s="28"/>
    </row>
    <row r="64" ht="11.25">
      <c r="G64" s="28"/>
    </row>
    <row r="65" spans="2:17" s="53" customFormat="1" ht="19.5" customHeight="1">
      <c r="B65" s="476" t="s">
        <v>173</v>
      </c>
      <c r="C65" s="476"/>
      <c r="D65" s="476"/>
      <c r="E65" s="476"/>
      <c r="F65" s="476"/>
      <c r="G65" s="476"/>
      <c r="H65" s="476"/>
      <c r="Q65" s="55"/>
    </row>
    <row r="66" s="53" customFormat="1" ht="11.25">
      <c r="Q66" s="55"/>
    </row>
    <row r="67" spans="2:17" s="53" customFormat="1" ht="22.5" customHeight="1">
      <c r="B67" s="499" t="s">
        <v>4</v>
      </c>
      <c r="C67" s="478" t="s">
        <v>199</v>
      </c>
      <c r="D67" s="479"/>
      <c r="E67" s="479"/>
      <c r="F67" s="480"/>
      <c r="G67" s="478" t="s">
        <v>203</v>
      </c>
      <c r="H67" s="480"/>
      <c r="I67" s="466" t="s">
        <v>165</v>
      </c>
      <c r="J67" s="467"/>
      <c r="L67" s="52"/>
      <c r="M67" s="52"/>
      <c r="Q67" s="55"/>
    </row>
    <row r="68" spans="2:17" s="53" customFormat="1" ht="18">
      <c r="B68" s="500"/>
      <c r="C68" s="484"/>
      <c r="D68" s="485"/>
      <c r="E68" s="485"/>
      <c r="F68" s="486"/>
      <c r="G68" s="484"/>
      <c r="H68" s="486"/>
      <c r="I68" s="468"/>
      <c r="J68" s="469"/>
      <c r="L68" s="52"/>
      <c r="M68" s="52"/>
      <c r="Q68" s="55"/>
    </row>
    <row r="69" spans="2:17" s="53" customFormat="1" ht="16.5" customHeight="1">
      <c r="B69" s="424" t="s">
        <v>232</v>
      </c>
      <c r="C69" s="505" t="str">
        <f>+'Input Data'!B39</f>
        <v>1-12</v>
      </c>
      <c r="D69" s="506"/>
      <c r="E69" s="506"/>
      <c r="F69" s="507"/>
      <c r="G69" s="501">
        <f>+IF('Input Data'!D39/5&gt;1,100,'Input Data'!D39/5*100)</f>
        <v>0</v>
      </c>
      <c r="H69" s="502"/>
      <c r="I69" s="470">
        <f>+(G71+G70+G69)/3</f>
        <v>0</v>
      </c>
      <c r="J69" s="471"/>
      <c r="L69" s="211"/>
      <c r="M69" s="588"/>
      <c r="N69" s="588"/>
      <c r="Q69" s="55"/>
    </row>
    <row r="70" spans="2:17" s="53" customFormat="1" ht="16.5" customHeight="1">
      <c r="B70" s="508"/>
      <c r="C70" s="493" t="str">
        <f>+'Input Data'!B40</f>
        <v>13-24</v>
      </c>
      <c r="D70" s="494"/>
      <c r="E70" s="494"/>
      <c r="F70" s="495"/>
      <c r="G70" s="503">
        <f>+IF('Input Data'!D40/5&gt;1,100,'Input Data'!D40/5*100)</f>
        <v>0</v>
      </c>
      <c r="H70" s="504"/>
      <c r="I70" s="472"/>
      <c r="J70" s="473"/>
      <c r="L70" s="212"/>
      <c r="M70" s="588"/>
      <c r="N70" s="588"/>
      <c r="Q70" s="55"/>
    </row>
    <row r="71" spans="2:17" s="53" customFormat="1" ht="16.5" customHeight="1">
      <c r="B71" s="509"/>
      <c r="C71" s="496" t="str">
        <f>+'Input Data'!B41</f>
        <v>25-36</v>
      </c>
      <c r="D71" s="497"/>
      <c r="E71" s="497"/>
      <c r="F71" s="498"/>
      <c r="G71" s="510">
        <f>+IF('Input Data'!D41/5&gt;1,100,'Input Data'!D41/5*100)</f>
        <v>0</v>
      </c>
      <c r="H71" s="511"/>
      <c r="I71" s="474"/>
      <c r="J71" s="475"/>
      <c r="L71" s="213"/>
      <c r="M71" s="536"/>
      <c r="N71" s="536"/>
      <c r="Q71" s="55"/>
    </row>
    <row r="72" spans="2:17" s="53" customFormat="1" ht="22.5" customHeight="1">
      <c r="B72" s="204"/>
      <c r="C72" s="214"/>
      <c r="D72" s="214"/>
      <c r="E72" s="214"/>
      <c r="F72" s="214"/>
      <c r="G72" s="536"/>
      <c r="H72" s="536"/>
      <c r="I72" s="536"/>
      <c r="J72" s="536"/>
      <c r="K72" s="536"/>
      <c r="L72" s="536"/>
      <c r="M72" s="536"/>
      <c r="N72" s="536"/>
      <c r="Q72" s="55"/>
    </row>
    <row r="73" spans="2:17" s="53" customFormat="1" ht="12.75" hidden="1">
      <c r="B73" s="56"/>
      <c r="C73" s="57"/>
      <c r="D73" s="57"/>
      <c r="E73" s="57"/>
      <c r="F73" s="57"/>
      <c r="G73" s="58"/>
      <c r="H73" s="58"/>
      <c r="I73" s="58"/>
      <c r="J73" s="58"/>
      <c r="K73" s="58"/>
      <c r="L73" s="57"/>
      <c r="M73" s="59"/>
      <c r="Q73" s="55"/>
    </row>
    <row r="74" spans="2:17" s="53" customFormat="1" ht="18" hidden="1">
      <c r="B74" s="537"/>
      <c r="C74" s="537"/>
      <c r="D74" s="60"/>
      <c r="E74" s="60"/>
      <c r="F74" s="60"/>
      <c r="G74" s="52"/>
      <c r="H74" s="52"/>
      <c r="I74" s="52"/>
      <c r="J74" s="52"/>
      <c r="K74" s="52"/>
      <c r="L74" s="52"/>
      <c r="M74" s="52"/>
      <c r="Q74" s="55"/>
    </row>
    <row r="75" spans="2:17" s="53" customFormat="1" ht="11.25" customHeight="1" hidden="1">
      <c r="B75" s="60"/>
      <c r="C75" s="60"/>
      <c r="D75" s="60"/>
      <c r="E75" s="60"/>
      <c r="F75" s="60"/>
      <c r="G75" s="52"/>
      <c r="H75" s="52"/>
      <c r="I75" s="52"/>
      <c r="J75" s="52"/>
      <c r="K75" s="52"/>
      <c r="L75" s="52"/>
      <c r="M75" s="52"/>
      <c r="Q75" s="55"/>
    </row>
    <row r="76" spans="2:17" s="53" customFormat="1" ht="22.5" customHeight="1" hidden="1">
      <c r="B76" s="458"/>
      <c r="C76" s="458"/>
      <c r="D76" s="204"/>
      <c r="E76" s="204"/>
      <c r="F76" s="204"/>
      <c r="G76" s="208"/>
      <c r="H76" s="208"/>
      <c r="I76" s="208"/>
      <c r="J76" s="208"/>
      <c r="K76" s="208"/>
      <c r="L76" s="208"/>
      <c r="M76" s="209"/>
      <c r="N76" s="204"/>
      <c r="Q76" s="55"/>
    </row>
    <row r="77" spans="2:17" s="53" customFormat="1" ht="22.5" customHeight="1" hidden="1">
      <c r="B77" s="458"/>
      <c r="C77" s="458"/>
      <c r="D77" s="204"/>
      <c r="E77" s="204"/>
      <c r="F77" s="204"/>
      <c r="G77" s="210"/>
      <c r="H77" s="210"/>
      <c r="I77" s="210"/>
      <c r="J77" s="210"/>
      <c r="K77" s="210"/>
      <c r="L77" s="210"/>
      <c r="M77" s="589"/>
      <c r="N77" s="589"/>
      <c r="Q77" s="55"/>
    </row>
    <row r="78" spans="2:17" s="53" customFormat="1" ht="22.5" customHeight="1" hidden="1">
      <c r="B78" s="458"/>
      <c r="C78" s="458"/>
      <c r="D78" s="204"/>
      <c r="E78" s="204"/>
      <c r="F78" s="204"/>
      <c r="G78" s="211"/>
      <c r="H78" s="211"/>
      <c r="I78" s="211"/>
      <c r="J78" s="211"/>
      <c r="K78" s="211"/>
      <c r="L78" s="211"/>
      <c r="M78" s="588"/>
      <c r="N78" s="588"/>
      <c r="Q78" s="55"/>
    </row>
    <row r="79" spans="2:17" s="53" customFormat="1" ht="22.5" customHeight="1" hidden="1">
      <c r="B79" s="458"/>
      <c r="C79" s="458"/>
      <c r="D79" s="204"/>
      <c r="E79" s="204"/>
      <c r="F79" s="204"/>
      <c r="G79" s="212"/>
      <c r="H79" s="212"/>
      <c r="I79" s="212"/>
      <c r="J79" s="212"/>
      <c r="K79" s="212"/>
      <c r="L79" s="212"/>
      <c r="M79" s="588"/>
      <c r="N79" s="588"/>
      <c r="Q79" s="55"/>
    </row>
    <row r="80" spans="2:17" s="53" customFormat="1" ht="22.5" customHeight="1" hidden="1">
      <c r="B80" s="531"/>
      <c r="C80" s="531"/>
      <c r="D80" s="219"/>
      <c r="E80" s="219"/>
      <c r="F80" s="219"/>
      <c r="G80" s="213"/>
      <c r="H80" s="213"/>
      <c r="I80" s="213"/>
      <c r="J80" s="213"/>
      <c r="K80" s="213"/>
      <c r="L80" s="213"/>
      <c r="M80" s="536"/>
      <c r="N80" s="536"/>
      <c r="Q80" s="55"/>
    </row>
    <row r="81" spans="2:17" s="53" customFormat="1" ht="22.5" customHeight="1" hidden="1">
      <c r="B81" s="458"/>
      <c r="C81" s="458"/>
      <c r="D81" s="204"/>
      <c r="E81" s="204"/>
      <c r="F81" s="204"/>
      <c r="G81" s="536"/>
      <c r="H81" s="536"/>
      <c r="I81" s="536"/>
      <c r="J81" s="536"/>
      <c r="K81" s="536"/>
      <c r="L81" s="536"/>
      <c r="M81" s="536"/>
      <c r="N81" s="536"/>
      <c r="Q81" s="55"/>
    </row>
    <row r="82" s="53" customFormat="1" ht="11.25" hidden="1">
      <c r="Q82" s="55"/>
    </row>
    <row r="83" s="53" customFormat="1" ht="11.25" hidden="1">
      <c r="Q83" s="55"/>
    </row>
    <row r="84" s="53" customFormat="1" ht="11.25" hidden="1">
      <c r="Q84" s="55"/>
    </row>
    <row r="85" spans="2:15" s="53" customFormat="1" ht="11.25" hidden="1">
      <c r="B85" s="56"/>
      <c r="G85" s="215"/>
      <c r="H85" s="215"/>
      <c r="O85" s="55"/>
    </row>
    <row r="86" spans="2:15" s="53" customFormat="1" ht="19.5" customHeight="1" hidden="1">
      <c r="B86" s="458"/>
      <c r="C86" s="458"/>
      <c r="D86" s="204"/>
      <c r="E86" s="204"/>
      <c r="F86" s="204"/>
      <c r="G86" s="216"/>
      <c r="H86" s="216"/>
      <c r="O86" s="55"/>
    </row>
    <row r="87" spans="2:15" s="53" customFormat="1" ht="25.5" customHeight="1" hidden="1">
      <c r="B87" s="457"/>
      <c r="C87" s="457"/>
      <c r="D87" s="152"/>
      <c r="E87" s="152"/>
      <c r="F87" s="152"/>
      <c r="G87" s="57"/>
      <c r="H87" s="57"/>
      <c r="O87" s="55"/>
    </row>
    <row r="88" spans="2:15" s="53" customFormat="1" ht="25.5" customHeight="1" hidden="1">
      <c r="B88" s="457"/>
      <c r="C88" s="457"/>
      <c r="D88" s="152"/>
      <c r="E88" s="152"/>
      <c r="F88" s="152"/>
      <c r="G88" s="57"/>
      <c r="H88" s="57"/>
      <c r="O88" s="55"/>
    </row>
    <row r="89" spans="2:15" s="53" customFormat="1" ht="25.5" customHeight="1" hidden="1">
      <c r="B89" s="457"/>
      <c r="C89" s="457"/>
      <c r="D89" s="152"/>
      <c r="E89" s="152"/>
      <c r="F89" s="152"/>
      <c r="G89" s="57"/>
      <c r="H89" s="57"/>
      <c r="O89" s="55"/>
    </row>
    <row r="90" spans="2:15" s="53" customFormat="1" ht="25.5" customHeight="1" hidden="1">
      <c r="B90" s="457"/>
      <c r="C90" s="457"/>
      <c r="D90" s="152"/>
      <c r="E90" s="152"/>
      <c r="F90" s="152"/>
      <c r="G90" s="57"/>
      <c r="H90" s="57"/>
      <c r="O90" s="55"/>
    </row>
    <row r="91" spans="2:15" s="53" customFormat="1" ht="25.5" customHeight="1" hidden="1">
      <c r="B91" s="457"/>
      <c r="C91" s="457"/>
      <c r="D91" s="152"/>
      <c r="E91" s="152"/>
      <c r="F91" s="152"/>
      <c r="G91" s="57"/>
      <c r="H91" s="57"/>
      <c r="O91" s="55"/>
    </row>
    <row r="92" spans="2:15" s="53" customFormat="1" ht="25.5" customHeight="1" hidden="1">
      <c r="B92" s="457"/>
      <c r="C92" s="457"/>
      <c r="D92" s="152"/>
      <c r="E92" s="152"/>
      <c r="F92" s="152"/>
      <c r="G92" s="57"/>
      <c r="H92" s="57"/>
      <c r="O92" s="55"/>
    </row>
    <row r="93" spans="2:15" s="53" customFormat="1" ht="9" customHeight="1" hidden="1">
      <c r="B93" s="61"/>
      <c r="G93" s="59"/>
      <c r="H93" s="59"/>
      <c r="O93" s="55"/>
    </row>
    <row r="94" spans="2:15" s="53" customFormat="1" ht="9" customHeight="1" hidden="1">
      <c r="B94" s="61"/>
      <c r="G94" s="62"/>
      <c r="H94" s="59"/>
      <c r="O94" s="55"/>
    </row>
    <row r="95" spans="2:15" s="53" customFormat="1" ht="11.25" hidden="1">
      <c r="B95" s="61"/>
      <c r="G95" s="215"/>
      <c r="H95" s="215"/>
      <c r="O95" s="55"/>
    </row>
    <row r="96" spans="2:15" s="53" customFormat="1" ht="16.5" customHeight="1" hidden="1">
      <c r="B96" s="457"/>
      <c r="C96" s="457"/>
      <c r="D96" s="152"/>
      <c r="E96" s="152"/>
      <c r="F96" s="152"/>
      <c r="G96" s="59"/>
      <c r="H96" s="59"/>
      <c r="O96" s="55"/>
    </row>
    <row r="97" spans="2:15" s="53" customFormat="1" ht="16.5" customHeight="1" hidden="1">
      <c r="B97" s="457"/>
      <c r="C97" s="457"/>
      <c r="D97" s="152"/>
      <c r="E97" s="152"/>
      <c r="F97" s="152"/>
      <c r="G97" s="59"/>
      <c r="H97" s="59"/>
      <c r="O97" s="55"/>
    </row>
    <row r="98" s="53" customFormat="1" ht="11.25" hidden="1">
      <c r="Q98" s="55"/>
    </row>
    <row r="101" spans="1:18" ht="19.5" customHeight="1">
      <c r="A101" s="75"/>
      <c r="B101" s="530" t="s">
        <v>174</v>
      </c>
      <c r="C101" s="530"/>
      <c r="D101" s="530"/>
      <c r="E101" s="530"/>
      <c r="F101" s="530"/>
      <c r="G101" s="530"/>
      <c r="H101" s="530"/>
      <c r="I101" s="75"/>
      <c r="J101" s="75"/>
      <c r="K101" s="75"/>
      <c r="L101" s="75"/>
      <c r="M101" s="75"/>
      <c r="N101" s="75"/>
      <c r="O101" s="75"/>
      <c r="P101" s="75"/>
      <c r="Q101" s="76"/>
      <c r="R101" s="75"/>
    </row>
    <row r="102" spans="1:18" ht="11.25">
      <c r="A102" s="75"/>
      <c r="B102" s="75"/>
      <c r="C102" s="75"/>
      <c r="D102" s="75"/>
      <c r="E102" s="75"/>
      <c r="F102" s="75"/>
      <c r="G102" s="75"/>
      <c r="H102" s="75"/>
      <c r="I102" s="75"/>
      <c r="J102" s="75"/>
      <c r="K102" s="75"/>
      <c r="L102" s="75"/>
      <c r="M102" s="75"/>
      <c r="N102" s="75"/>
      <c r="O102" s="75"/>
      <c r="P102" s="75"/>
      <c r="Q102" s="76"/>
      <c r="R102" s="75"/>
    </row>
    <row r="103" spans="1:18" s="17" customFormat="1" ht="18">
      <c r="A103" s="75"/>
      <c r="B103" s="532" t="s">
        <v>133</v>
      </c>
      <c r="C103" s="532"/>
      <c r="D103" s="532"/>
      <c r="E103" s="532"/>
      <c r="F103" s="532"/>
      <c r="G103" s="532"/>
      <c r="H103" s="532"/>
      <c r="I103" s="77"/>
      <c r="J103" s="77"/>
      <c r="K103" s="77"/>
      <c r="L103" s="77"/>
      <c r="M103" s="77"/>
      <c r="N103" s="75"/>
      <c r="O103" s="75"/>
      <c r="P103" s="75"/>
      <c r="Q103" s="76"/>
      <c r="R103" s="75"/>
    </row>
    <row r="104" spans="1:18" s="20" customFormat="1" ht="11.25" customHeight="1">
      <c r="A104" s="78"/>
      <c r="B104" s="80"/>
      <c r="C104" s="80"/>
      <c r="D104" s="80"/>
      <c r="E104" s="80"/>
      <c r="F104" s="80"/>
      <c r="G104" s="77"/>
      <c r="H104" s="77"/>
      <c r="I104" s="77"/>
      <c r="J104" s="77"/>
      <c r="K104" s="77"/>
      <c r="L104" s="77"/>
      <c r="M104" s="77"/>
      <c r="N104" s="78"/>
      <c r="O104" s="78"/>
      <c r="P104" s="78"/>
      <c r="Q104" s="79"/>
      <c r="R104" s="78"/>
    </row>
    <row r="105" spans="1:18" ht="15.75" customHeight="1">
      <c r="A105" s="75"/>
      <c r="B105" s="451" t="s">
        <v>89</v>
      </c>
      <c r="C105" s="452"/>
      <c r="D105" s="452"/>
      <c r="E105" s="452"/>
      <c r="F105" s="453"/>
      <c r="G105" s="533" t="s">
        <v>83</v>
      </c>
      <c r="H105" s="534"/>
      <c r="I105" s="534"/>
      <c r="J105" s="534"/>
      <c r="K105" s="534"/>
      <c r="L105" s="534"/>
      <c r="M105" s="534"/>
      <c r="N105" s="534"/>
      <c r="O105" s="534"/>
      <c r="P105" s="535"/>
      <c r="Q105" s="76"/>
      <c r="R105" s="75"/>
    </row>
    <row r="106" spans="1:18" ht="15.75" customHeight="1">
      <c r="A106" s="75"/>
      <c r="B106" s="454"/>
      <c r="C106" s="455"/>
      <c r="D106" s="455"/>
      <c r="E106" s="455"/>
      <c r="F106" s="456"/>
      <c r="G106" s="512" t="s">
        <v>84</v>
      </c>
      <c r="H106" s="513"/>
      <c r="I106" s="512" t="s">
        <v>85</v>
      </c>
      <c r="J106" s="513"/>
      <c r="K106" s="512" t="s">
        <v>86</v>
      </c>
      <c r="L106" s="513"/>
      <c r="M106" s="512" t="s">
        <v>87</v>
      </c>
      <c r="N106" s="513"/>
      <c r="O106" s="512" t="s">
        <v>88</v>
      </c>
      <c r="P106" s="513"/>
      <c r="Q106" s="76"/>
      <c r="R106" s="75"/>
    </row>
    <row r="107" spans="1:18" ht="22.5" customHeight="1">
      <c r="A107" s="75"/>
      <c r="B107" s="524" t="s">
        <v>191</v>
      </c>
      <c r="C107" s="437" t="s">
        <v>79</v>
      </c>
      <c r="D107" s="438"/>
      <c r="E107" s="438"/>
      <c r="F107" s="439"/>
      <c r="G107" s="520" t="s">
        <v>178</v>
      </c>
      <c r="H107" s="521"/>
      <c r="I107" s="520" t="s">
        <v>178</v>
      </c>
      <c r="J107" s="521"/>
      <c r="K107" s="520" t="s">
        <v>178</v>
      </c>
      <c r="L107" s="521"/>
      <c r="M107" s="520" t="s">
        <v>178</v>
      </c>
      <c r="N107" s="521"/>
      <c r="O107" s="520" t="s">
        <v>178</v>
      </c>
      <c r="P107" s="521"/>
      <c r="Q107" s="76"/>
      <c r="R107" s="75"/>
    </row>
    <row r="108" spans="1:18" ht="25.5" customHeight="1">
      <c r="A108" s="75"/>
      <c r="B108" s="525"/>
      <c r="C108" s="440" t="s">
        <v>80</v>
      </c>
      <c r="D108" s="441"/>
      <c r="E108" s="441"/>
      <c r="F108" s="442"/>
      <c r="G108" s="516" t="s">
        <v>178</v>
      </c>
      <c r="H108" s="517"/>
      <c r="I108" s="516" t="s">
        <v>178</v>
      </c>
      <c r="J108" s="517"/>
      <c r="K108" s="516" t="s">
        <v>178</v>
      </c>
      <c r="L108" s="517"/>
      <c r="M108" s="516" t="str">
        <f>IF('Input Data'!N65&gt;1650-0.45*'Input Data'!N66,"Justified","Not Justified")</f>
        <v>Justified</v>
      </c>
      <c r="N108" s="517"/>
      <c r="O108" s="522" t="s">
        <v>179</v>
      </c>
      <c r="P108" s="517"/>
      <c r="Q108" s="76"/>
      <c r="R108" s="75"/>
    </row>
    <row r="109" spans="1:18" ht="22.5" customHeight="1">
      <c r="A109" s="75"/>
      <c r="B109" s="525"/>
      <c r="C109" s="440" t="s">
        <v>81</v>
      </c>
      <c r="D109" s="441"/>
      <c r="E109" s="441"/>
      <c r="F109" s="442"/>
      <c r="G109" s="516" t="s">
        <v>178</v>
      </c>
      <c r="H109" s="517"/>
      <c r="I109" s="516" t="s">
        <v>178</v>
      </c>
      <c r="J109" s="517"/>
      <c r="K109" s="516" t="str">
        <f>IF(('Input Data'!N65&gt;0.0001*'Input Data'!N66^2-0.146*'Input Data'!N66+770),"Justified","Not Justified")</f>
        <v>Justified</v>
      </c>
      <c r="L109" s="517"/>
      <c r="M109" s="516" t="s">
        <v>179</v>
      </c>
      <c r="N109" s="517"/>
      <c r="O109" s="516" t="s">
        <v>179</v>
      </c>
      <c r="P109" s="517"/>
      <c r="Q109" s="76"/>
      <c r="R109" s="75"/>
    </row>
    <row r="110" spans="1:18" ht="22.5" customHeight="1">
      <c r="A110" s="75"/>
      <c r="B110" s="525"/>
      <c r="C110" s="443" t="s">
        <v>82</v>
      </c>
      <c r="D110" s="444"/>
      <c r="E110" s="444"/>
      <c r="F110" s="445"/>
      <c r="G110" s="518" t="s">
        <v>178</v>
      </c>
      <c r="H110" s="519"/>
      <c r="I110" s="518" t="str">
        <f>IF('Input Data'!N65&gt;(340-0.0094*'Input Data'!N66),"Justified","Not Justified")</f>
        <v>Justified</v>
      </c>
      <c r="J110" s="519"/>
      <c r="K110" s="518" t="s">
        <v>179</v>
      </c>
      <c r="L110" s="519"/>
      <c r="M110" s="518" t="s">
        <v>179</v>
      </c>
      <c r="N110" s="519"/>
      <c r="O110" s="518" t="s">
        <v>179</v>
      </c>
      <c r="P110" s="519"/>
      <c r="Q110" s="76"/>
      <c r="R110" s="75"/>
    </row>
    <row r="111" spans="1:18" ht="11.25">
      <c r="A111" s="75"/>
      <c r="B111" s="75"/>
      <c r="C111" s="75"/>
      <c r="D111" s="75"/>
      <c r="E111" s="75"/>
      <c r="F111" s="75"/>
      <c r="G111" s="221"/>
      <c r="H111" s="221"/>
      <c r="I111" s="221"/>
      <c r="J111" s="221"/>
      <c r="K111" s="221"/>
      <c r="L111" s="221"/>
      <c r="M111" s="221"/>
      <c r="N111" s="221"/>
      <c r="O111" s="221"/>
      <c r="P111" s="221"/>
      <c r="Q111" s="76"/>
      <c r="R111" s="75"/>
    </row>
    <row r="112" spans="1:18" ht="18" customHeight="1">
      <c r="A112" s="75"/>
      <c r="B112" s="523" t="s">
        <v>134</v>
      </c>
      <c r="C112" s="523"/>
      <c r="D112" s="523"/>
      <c r="E112" s="523"/>
      <c r="F112" s="523"/>
      <c r="G112" s="523"/>
      <c r="H112" s="523"/>
      <c r="I112" s="523"/>
      <c r="J112" s="523"/>
      <c r="K112" s="221"/>
      <c r="L112" s="221"/>
      <c r="M112" s="221"/>
      <c r="N112" s="221"/>
      <c r="O112" s="221"/>
      <c r="P112" s="221"/>
      <c r="Q112" s="76"/>
      <c r="R112" s="75"/>
    </row>
    <row r="113" spans="1:18" ht="11.25">
      <c r="A113" s="75"/>
      <c r="B113" s="75"/>
      <c r="C113" s="75"/>
      <c r="D113" s="75"/>
      <c r="E113" s="75"/>
      <c r="F113" s="75"/>
      <c r="G113" s="75"/>
      <c r="H113" s="75"/>
      <c r="I113" s="75"/>
      <c r="J113" s="75"/>
      <c r="K113" s="75"/>
      <c r="L113" s="75"/>
      <c r="M113" s="75"/>
      <c r="N113" s="75"/>
      <c r="O113" s="75"/>
      <c r="P113" s="75"/>
      <c r="Q113" s="76"/>
      <c r="R113" s="75"/>
    </row>
    <row r="114" spans="1:18" ht="15.75" customHeight="1">
      <c r="A114" s="75"/>
      <c r="B114" s="451" t="s">
        <v>90</v>
      </c>
      <c r="C114" s="452"/>
      <c r="D114" s="452"/>
      <c r="E114" s="452"/>
      <c r="F114" s="453"/>
      <c r="G114" s="526" t="s">
        <v>94</v>
      </c>
      <c r="H114" s="527"/>
      <c r="I114" s="527"/>
      <c r="J114" s="527"/>
      <c r="K114" s="527"/>
      <c r="L114" s="527"/>
      <c r="M114" s="81"/>
      <c r="N114" s="81"/>
      <c r="O114" s="81"/>
      <c r="P114" s="81"/>
      <c r="Q114" s="76"/>
      <c r="R114" s="75"/>
    </row>
    <row r="115" spans="1:18" ht="15.75" customHeight="1">
      <c r="A115" s="75"/>
      <c r="B115" s="454"/>
      <c r="C115" s="455"/>
      <c r="D115" s="455"/>
      <c r="E115" s="455"/>
      <c r="F115" s="456"/>
      <c r="G115" s="512" t="s">
        <v>91</v>
      </c>
      <c r="H115" s="513"/>
      <c r="I115" s="512" t="s">
        <v>92</v>
      </c>
      <c r="J115" s="513"/>
      <c r="K115" s="512" t="s">
        <v>93</v>
      </c>
      <c r="L115" s="513"/>
      <c r="M115" s="514"/>
      <c r="N115" s="514"/>
      <c r="O115" s="514"/>
      <c r="P115" s="514"/>
      <c r="Q115" s="76"/>
      <c r="R115" s="75"/>
    </row>
    <row r="116" spans="1:18" ht="22.5" customHeight="1">
      <c r="A116" s="75"/>
      <c r="B116" s="528" t="s">
        <v>192</v>
      </c>
      <c r="C116" s="437" t="s">
        <v>84</v>
      </c>
      <c r="D116" s="438"/>
      <c r="E116" s="438"/>
      <c r="F116" s="439"/>
      <c r="G116" s="520" t="s">
        <v>178</v>
      </c>
      <c r="H116" s="521"/>
      <c r="I116" s="520" t="s">
        <v>178</v>
      </c>
      <c r="J116" s="521"/>
      <c r="K116" s="520" t="s">
        <v>178</v>
      </c>
      <c r="L116" s="521"/>
      <c r="M116" s="515"/>
      <c r="N116" s="515"/>
      <c r="O116" s="515"/>
      <c r="P116" s="515"/>
      <c r="Q116" s="76"/>
      <c r="R116" s="75"/>
    </row>
    <row r="117" spans="1:18" ht="25.5" customHeight="1">
      <c r="A117" s="75"/>
      <c r="B117" s="528"/>
      <c r="C117" s="440" t="s">
        <v>95</v>
      </c>
      <c r="D117" s="441"/>
      <c r="E117" s="441"/>
      <c r="F117" s="442"/>
      <c r="G117" s="516" t="s">
        <v>178</v>
      </c>
      <c r="H117" s="517"/>
      <c r="I117" s="516" t="str">
        <f>IF('Input Data'!N79&gt;(240-0.55*'Input Data'!N79),"Justified","Not Justified")</f>
        <v>Not Justified</v>
      </c>
      <c r="J117" s="517"/>
      <c r="K117" s="516" t="s">
        <v>179</v>
      </c>
      <c r="L117" s="517"/>
      <c r="M117" s="515"/>
      <c r="N117" s="515"/>
      <c r="O117" s="515"/>
      <c r="P117" s="515"/>
      <c r="Q117" s="76"/>
      <c r="R117" s="75"/>
    </row>
    <row r="118" spans="1:18" ht="22.5" customHeight="1">
      <c r="A118" s="75"/>
      <c r="B118" s="524"/>
      <c r="C118" s="443" t="s">
        <v>96</v>
      </c>
      <c r="D118" s="444"/>
      <c r="E118" s="444"/>
      <c r="F118" s="445"/>
      <c r="G118" s="529" t="s">
        <v>178</v>
      </c>
      <c r="H118" s="519"/>
      <c r="I118" s="518" t="s">
        <v>179</v>
      </c>
      <c r="J118" s="519"/>
      <c r="K118" s="518" t="s">
        <v>179</v>
      </c>
      <c r="L118" s="519"/>
      <c r="M118" s="515"/>
      <c r="N118" s="515"/>
      <c r="O118" s="515"/>
      <c r="P118" s="515"/>
      <c r="Q118" s="76"/>
      <c r="R118" s="75"/>
    </row>
    <row r="119" spans="1:18" ht="11.25">
      <c r="A119" s="75"/>
      <c r="B119" s="75"/>
      <c r="C119" s="75"/>
      <c r="D119" s="75"/>
      <c r="E119" s="75"/>
      <c r="F119" s="75"/>
      <c r="G119" s="221"/>
      <c r="H119" s="221"/>
      <c r="I119" s="221"/>
      <c r="J119" s="221"/>
      <c r="K119" s="221"/>
      <c r="L119" s="221"/>
      <c r="M119" s="75"/>
      <c r="N119" s="75"/>
      <c r="O119" s="75"/>
      <c r="P119" s="75"/>
      <c r="Q119" s="76"/>
      <c r="R119" s="75"/>
    </row>
    <row r="120" spans="1:18" ht="11.25">
      <c r="A120" s="75"/>
      <c r="B120" s="75"/>
      <c r="C120" s="75"/>
      <c r="D120" s="75"/>
      <c r="E120" s="75"/>
      <c r="F120" s="75"/>
      <c r="G120" s="221"/>
      <c r="H120" s="221"/>
      <c r="I120" s="221"/>
      <c r="J120" s="221"/>
      <c r="K120" s="221"/>
      <c r="L120" s="221"/>
      <c r="M120" s="75"/>
      <c r="N120" s="75"/>
      <c r="O120" s="75"/>
      <c r="P120" s="75"/>
      <c r="Q120" s="76"/>
      <c r="R120" s="75"/>
    </row>
    <row r="122" spans="1:20" ht="12.75">
      <c r="A122" s="200"/>
      <c r="B122" s="200"/>
      <c r="C122" s="200"/>
      <c r="D122" s="200"/>
      <c r="E122" s="200"/>
      <c r="F122" s="200"/>
      <c r="G122" s="200"/>
      <c r="H122" s="200"/>
      <c r="I122" s="200"/>
      <c r="J122" s="200"/>
      <c r="K122" s="200"/>
      <c r="L122" s="200"/>
      <c r="M122" s="200"/>
      <c r="N122" s="200"/>
      <c r="O122" s="200"/>
      <c r="P122" s="200"/>
      <c r="Q122" s="200"/>
      <c r="R122" s="200"/>
      <c r="S122" s="203"/>
      <c r="T122" s="203"/>
    </row>
    <row r="123" spans="1:20" ht="12.75">
      <c r="A123" s="201"/>
      <c r="B123" s="201"/>
      <c r="C123" s="201"/>
      <c r="D123" s="201"/>
      <c r="E123" s="201"/>
      <c r="F123" s="201"/>
      <c r="G123" s="201"/>
      <c r="H123" s="201"/>
      <c r="I123" s="201"/>
      <c r="J123" s="201"/>
      <c r="K123" s="201"/>
      <c r="L123" s="201"/>
      <c r="M123" s="201"/>
      <c r="N123" s="201"/>
      <c r="O123" s="201"/>
      <c r="P123" s="201"/>
      <c r="Q123" s="201"/>
      <c r="R123" s="201"/>
      <c r="S123" s="203"/>
      <c r="T123" s="203"/>
    </row>
    <row r="124" spans="1:20" ht="12.75">
      <c r="A124" s="202"/>
      <c r="B124" s="202"/>
      <c r="C124" s="202"/>
      <c r="D124" s="202"/>
      <c r="E124" s="202"/>
      <c r="F124" s="202"/>
      <c r="G124" s="202"/>
      <c r="H124" s="202"/>
      <c r="I124" s="202"/>
      <c r="J124" s="202"/>
      <c r="K124" s="202"/>
      <c r="L124" s="202"/>
      <c r="M124" s="202"/>
      <c r="N124" s="202"/>
      <c r="O124" s="202"/>
      <c r="P124" s="202"/>
      <c r="Q124" s="202"/>
      <c r="R124" s="202"/>
      <c r="S124" s="203"/>
      <c r="T124" s="203"/>
    </row>
  </sheetData>
  <sheetProtection password="CC31" sheet="1" objects="1" scenarios="1"/>
  <mergeCells count="231">
    <mergeCell ref="O8:O9"/>
    <mergeCell ref="N13:N14"/>
    <mergeCell ref="C9:D9"/>
    <mergeCell ref="E9:F9"/>
    <mergeCell ref="C8:F8"/>
    <mergeCell ref="G10:G11"/>
    <mergeCell ref="H10:H11"/>
    <mergeCell ref="I10:I11"/>
    <mergeCell ref="O13:O14"/>
    <mergeCell ref="M10:M11"/>
    <mergeCell ref="G16:G17"/>
    <mergeCell ref="H16:H17"/>
    <mergeCell ref="K13:K14"/>
    <mergeCell ref="L13:L14"/>
    <mergeCell ref="G13:G14"/>
    <mergeCell ref="H13:H14"/>
    <mergeCell ref="I13:I14"/>
    <mergeCell ref="J13:J14"/>
    <mergeCell ref="B12:B14"/>
    <mergeCell ref="C13:F14"/>
    <mergeCell ref="B15:B17"/>
    <mergeCell ref="C16:F17"/>
    <mergeCell ref="B18:F18"/>
    <mergeCell ref="B19:F20"/>
    <mergeCell ref="J16:J17"/>
    <mergeCell ref="B57:B60"/>
    <mergeCell ref="I57:J57"/>
    <mergeCell ref="I58:J58"/>
    <mergeCell ref="I59:J59"/>
    <mergeCell ref="I60:J60"/>
    <mergeCell ref="C60:F60"/>
    <mergeCell ref="B38:F38"/>
    <mergeCell ref="M16:M17"/>
    <mergeCell ref="N16:N17"/>
    <mergeCell ref="M81:N81"/>
    <mergeCell ref="M70:N70"/>
    <mergeCell ref="M72:N72"/>
    <mergeCell ref="M77:N77"/>
    <mergeCell ref="M78:N78"/>
    <mergeCell ref="M79:N79"/>
    <mergeCell ref="M69:N69"/>
    <mergeCell ref="M71:N71"/>
    <mergeCell ref="M54:N56"/>
    <mergeCell ref="M80:N80"/>
    <mergeCell ref="M57:N57"/>
    <mergeCell ref="M60:N60"/>
    <mergeCell ref="O54:P56"/>
    <mergeCell ref="O57:P60"/>
    <mergeCell ref="G58:H58"/>
    <mergeCell ref="G59:H59"/>
    <mergeCell ref="G60:H60"/>
    <mergeCell ref="G57:H57"/>
    <mergeCell ref="K60:L60"/>
    <mergeCell ref="M58:N58"/>
    <mergeCell ref="M59:N59"/>
    <mergeCell ref="K57:L57"/>
    <mergeCell ref="B3:H3"/>
    <mergeCell ref="B24:H24"/>
    <mergeCell ref="G9:N9"/>
    <mergeCell ref="B28:B29"/>
    <mergeCell ref="G28:N28"/>
    <mergeCell ref="B4:H4"/>
    <mergeCell ref="G8:N8"/>
    <mergeCell ref="I16:I17"/>
    <mergeCell ref="J10:J11"/>
    <mergeCell ref="K10:K11"/>
    <mergeCell ref="B32:B34"/>
    <mergeCell ref="B35:B37"/>
    <mergeCell ref="C33:F34"/>
    <mergeCell ref="C36:F37"/>
    <mergeCell ref="B43:H43"/>
    <mergeCell ref="B47:H47"/>
    <mergeCell ref="B39:F40"/>
    <mergeCell ref="C48:F48"/>
    <mergeCell ref="B54:B56"/>
    <mergeCell ref="I54:J55"/>
    <mergeCell ref="K54:L55"/>
    <mergeCell ref="I47:L47"/>
    <mergeCell ref="B52:H52"/>
    <mergeCell ref="C49:F49"/>
    <mergeCell ref="G54:H55"/>
    <mergeCell ref="G56:H56"/>
    <mergeCell ref="I56:J56"/>
    <mergeCell ref="K56:L56"/>
    <mergeCell ref="G72:L72"/>
    <mergeCell ref="G81:L81"/>
    <mergeCell ref="B76:C76"/>
    <mergeCell ref="B77:C77"/>
    <mergeCell ref="B78:C78"/>
    <mergeCell ref="B79:C79"/>
    <mergeCell ref="B74:C74"/>
    <mergeCell ref="B101:H101"/>
    <mergeCell ref="B80:C80"/>
    <mergeCell ref="B81:C81"/>
    <mergeCell ref="G109:H109"/>
    <mergeCell ref="B90:C90"/>
    <mergeCell ref="B91:C91"/>
    <mergeCell ref="B92:C92"/>
    <mergeCell ref="B96:C96"/>
    <mergeCell ref="B103:H103"/>
    <mergeCell ref="G105:P105"/>
    <mergeCell ref="B116:B118"/>
    <mergeCell ref="M117:N117"/>
    <mergeCell ref="G118:H118"/>
    <mergeCell ref="I118:J118"/>
    <mergeCell ref="K118:L118"/>
    <mergeCell ref="I117:J117"/>
    <mergeCell ref="G117:H117"/>
    <mergeCell ref="G116:H116"/>
    <mergeCell ref="I116:J116"/>
    <mergeCell ref="K116:L116"/>
    <mergeCell ref="K110:L110"/>
    <mergeCell ref="K115:L115"/>
    <mergeCell ref="G110:H110"/>
    <mergeCell ref="I110:J110"/>
    <mergeCell ref="B112:J112"/>
    <mergeCell ref="B107:B110"/>
    <mergeCell ref="G107:H107"/>
    <mergeCell ref="G108:H108"/>
    <mergeCell ref="G114:L114"/>
    <mergeCell ref="I115:J115"/>
    <mergeCell ref="G106:H106"/>
    <mergeCell ref="I106:J106"/>
    <mergeCell ref="K106:L106"/>
    <mergeCell ref="M106:N106"/>
    <mergeCell ref="O106:P106"/>
    <mergeCell ref="K107:L107"/>
    <mergeCell ref="I107:J107"/>
    <mergeCell ref="K117:L117"/>
    <mergeCell ref="I109:J109"/>
    <mergeCell ref="K109:L109"/>
    <mergeCell ref="I108:J108"/>
    <mergeCell ref="K108:L108"/>
    <mergeCell ref="M108:N108"/>
    <mergeCell ref="O108:P108"/>
    <mergeCell ref="O109:P109"/>
    <mergeCell ref="O110:P110"/>
    <mergeCell ref="M107:N107"/>
    <mergeCell ref="O107:P107"/>
    <mergeCell ref="M109:N109"/>
    <mergeCell ref="M110:N110"/>
    <mergeCell ref="M115:N115"/>
    <mergeCell ref="O115:P115"/>
    <mergeCell ref="M118:N118"/>
    <mergeCell ref="O118:P118"/>
    <mergeCell ref="M116:N116"/>
    <mergeCell ref="O116:P116"/>
    <mergeCell ref="O117:P117"/>
    <mergeCell ref="B114:F115"/>
    <mergeCell ref="B67:B68"/>
    <mergeCell ref="G67:H68"/>
    <mergeCell ref="G69:H69"/>
    <mergeCell ref="G70:H70"/>
    <mergeCell ref="C67:F68"/>
    <mergeCell ref="C69:F69"/>
    <mergeCell ref="B69:B71"/>
    <mergeCell ref="G71:H71"/>
    <mergeCell ref="G115:H115"/>
    <mergeCell ref="I67:J68"/>
    <mergeCell ref="I69:J71"/>
    <mergeCell ref="B65:H65"/>
    <mergeCell ref="I49:J49"/>
    <mergeCell ref="C54:F56"/>
    <mergeCell ref="C57:F57"/>
    <mergeCell ref="C58:F58"/>
    <mergeCell ref="C59:F59"/>
    <mergeCell ref="C70:F70"/>
    <mergeCell ref="C71:F71"/>
    <mergeCell ref="K49:L49"/>
    <mergeCell ref="K58:L58"/>
    <mergeCell ref="K59:L59"/>
    <mergeCell ref="L10:L11"/>
    <mergeCell ref="L30:L31"/>
    <mergeCell ref="K33:K34"/>
    <mergeCell ref="L33:L34"/>
    <mergeCell ref="K16:K17"/>
    <mergeCell ref="L16:L17"/>
    <mergeCell ref="G29:N29"/>
    <mergeCell ref="M13:M14"/>
    <mergeCell ref="P8:P9"/>
    <mergeCell ref="G30:G31"/>
    <mergeCell ref="H30:H31"/>
    <mergeCell ref="I30:I31"/>
    <mergeCell ref="J30:J31"/>
    <mergeCell ref="K30:K31"/>
    <mergeCell ref="P13:P14"/>
    <mergeCell ref="O16:O17"/>
    <mergeCell ref="P16:P17"/>
    <mergeCell ref="N10:N11"/>
    <mergeCell ref="B105:F106"/>
    <mergeCell ref="C107:F107"/>
    <mergeCell ref="B97:C97"/>
    <mergeCell ref="B86:C86"/>
    <mergeCell ref="B87:C87"/>
    <mergeCell ref="B88:C88"/>
    <mergeCell ref="B89:C89"/>
    <mergeCell ref="M30:M31"/>
    <mergeCell ref="N30:N31"/>
    <mergeCell ref="C116:F116"/>
    <mergeCell ref="C117:F117"/>
    <mergeCell ref="C118:F118"/>
    <mergeCell ref="B6:E6"/>
    <mergeCell ref="B26:F26"/>
    <mergeCell ref="B45:F45"/>
    <mergeCell ref="B8:B9"/>
    <mergeCell ref="C108:F108"/>
    <mergeCell ref="C109:F109"/>
    <mergeCell ref="C110:F110"/>
    <mergeCell ref="I33:I34"/>
    <mergeCell ref="J33:J34"/>
    <mergeCell ref="M33:M34"/>
    <mergeCell ref="C28:F28"/>
    <mergeCell ref="C29:D29"/>
    <mergeCell ref="E29:F29"/>
    <mergeCell ref="G33:G34"/>
    <mergeCell ref="N33:N34"/>
    <mergeCell ref="G36:G37"/>
    <mergeCell ref="H36:H37"/>
    <mergeCell ref="I36:I37"/>
    <mergeCell ref="J36:J37"/>
    <mergeCell ref="K36:K37"/>
    <mergeCell ref="L36:L37"/>
    <mergeCell ref="M36:M37"/>
    <mergeCell ref="N36:N37"/>
    <mergeCell ref="H33:H34"/>
    <mergeCell ref="O36:O37"/>
    <mergeCell ref="P36:P37"/>
    <mergeCell ref="O28:O29"/>
    <mergeCell ref="P28:P29"/>
    <mergeCell ref="O33:O34"/>
    <mergeCell ref="P33:P34"/>
  </mergeCells>
  <printOptions horizontalCentered="1"/>
  <pageMargins left="0.45" right="0.45" top="0.45" bottom="0.45" header="0.3" footer="0.3"/>
  <pageSetup fitToHeight="0" horizontalDpi="600" verticalDpi="600" orientation="portrait" scale="67" r:id="rId2"/>
  <headerFooter alignWithMargins="0">
    <oddFooter>&amp;L&amp;A&amp;C&amp;F&amp;R&amp;D</oddFooter>
  </headerFooter>
  <rowBreaks count="1" manualBreakCount="1">
    <brk id="63" max="14" man="1"/>
  </rowBreaks>
  <drawing r:id="rId1"/>
</worksheet>
</file>

<file path=xl/worksheets/sheet3.xml><?xml version="1.0" encoding="utf-8"?>
<worksheet xmlns="http://schemas.openxmlformats.org/spreadsheetml/2006/main" xmlns:r="http://schemas.openxmlformats.org/officeDocument/2006/relationships">
  <sheetPr codeName="Sheet7">
    <pageSetUpPr fitToPage="1"/>
  </sheetPr>
  <dimension ref="A1:IV44"/>
  <sheetViews>
    <sheetView showRowColHeaders="0" defaultGridColor="0" colorId="55" workbookViewId="0" topLeftCell="A1">
      <pane ySplit="2" topLeftCell="BD3" activePane="bottomLeft" state="frozen"/>
      <selection pane="topLeft" activeCell="A1" sqref="A1"/>
      <selection pane="bottomLeft" activeCell="A3" sqref="A3"/>
    </sheetView>
  </sheetViews>
  <sheetFormatPr defaultColWidth="11.421875" defaultRowHeight="12.75"/>
  <cols>
    <col min="1" max="1" width="1.8515625" style="2" customWidth="1"/>
    <col min="2" max="2" width="13.00390625" style="2" customWidth="1"/>
    <col min="3" max="3" width="20.57421875" style="2" customWidth="1"/>
    <col min="4" max="4" width="10.28125" style="2" customWidth="1"/>
    <col min="5" max="11" width="9.140625" style="2" customWidth="1"/>
    <col min="12" max="13" width="8.28125" style="2" customWidth="1"/>
    <col min="14" max="14" width="12.8515625" style="4" customWidth="1"/>
    <col min="15" max="15" width="1.8515625" style="2" customWidth="1"/>
    <col min="16" max="16384" width="9.140625" style="2" customWidth="1"/>
  </cols>
  <sheetData>
    <row r="1" spans="1:15" ht="28.5" customHeight="1">
      <c r="A1" s="19"/>
      <c r="B1" s="82" t="s">
        <v>103</v>
      </c>
      <c r="C1" s="19"/>
      <c r="D1" s="19"/>
      <c r="E1" s="19"/>
      <c r="F1" s="19"/>
      <c r="G1" s="19"/>
      <c r="H1" s="19"/>
      <c r="I1" s="19"/>
      <c r="J1" s="19"/>
      <c r="K1" s="19"/>
      <c r="L1" s="19"/>
      <c r="M1" s="19"/>
      <c r="N1" s="84"/>
      <c r="O1" s="19"/>
    </row>
    <row r="2" spans="1:15" ht="26.25" customHeight="1">
      <c r="A2" s="19"/>
      <c r="B2" s="312" t="str">
        <f>CONCATENATE("Intersection: ",'Input Data'!G4)</f>
        <v>Intersection: Richmond Street / Duncan Street</v>
      </c>
      <c r="C2" s="311"/>
      <c r="D2" s="311"/>
      <c r="E2" s="311"/>
      <c r="F2" s="312" t="str">
        <f>CONCATENATE("Count Date: ",'Input Data'!N6)</f>
        <v>Count Date: 2007-09-27</v>
      </c>
      <c r="G2" s="312"/>
      <c r="H2" s="19"/>
      <c r="I2" s="312"/>
      <c r="J2" s="19"/>
      <c r="K2" s="19"/>
      <c r="L2" s="19"/>
      <c r="M2" s="19"/>
      <c r="N2" s="84"/>
      <c r="O2" s="19"/>
    </row>
    <row r="3" spans="2:14" s="17" customFormat="1" ht="6" customHeight="1">
      <c r="B3" s="562"/>
      <c r="C3" s="562"/>
      <c r="D3" s="562"/>
      <c r="E3" s="562"/>
      <c r="N3" s="27"/>
    </row>
    <row r="4" spans="1:15" ht="17.25" customHeight="1">
      <c r="A4" s="29"/>
      <c r="B4" s="549" t="s">
        <v>104</v>
      </c>
      <c r="C4" s="549"/>
      <c r="D4" s="549"/>
      <c r="E4" s="549"/>
      <c r="F4" s="29"/>
      <c r="G4" s="29"/>
      <c r="H4" s="29"/>
      <c r="I4" s="29"/>
      <c r="J4" s="29"/>
      <c r="K4" s="29"/>
      <c r="L4" s="29"/>
      <c r="M4" s="29"/>
      <c r="N4" s="30"/>
      <c r="O4" s="29"/>
    </row>
    <row r="5" spans="1:15" ht="6" customHeight="1">
      <c r="A5" s="29"/>
      <c r="B5" s="446"/>
      <c r="C5" s="446"/>
      <c r="D5" s="29"/>
      <c r="E5" s="29"/>
      <c r="F5" s="29"/>
      <c r="G5" s="29"/>
      <c r="H5" s="29"/>
      <c r="I5" s="29"/>
      <c r="J5" s="29"/>
      <c r="K5" s="29"/>
      <c r="L5" s="29"/>
      <c r="M5" s="29"/>
      <c r="N5" s="30"/>
      <c r="O5" s="29"/>
    </row>
    <row r="6" spans="1:15" ht="6" customHeight="1">
      <c r="A6" s="29"/>
      <c r="B6" s="32"/>
      <c r="C6" s="29"/>
      <c r="D6" s="29"/>
      <c r="E6" s="29"/>
      <c r="F6" s="29"/>
      <c r="G6" s="29"/>
      <c r="H6" s="29"/>
      <c r="I6" s="29"/>
      <c r="J6" s="29"/>
      <c r="K6" s="29"/>
      <c r="L6" s="29"/>
      <c r="M6" s="29"/>
      <c r="N6" s="30"/>
      <c r="O6" s="29"/>
    </row>
    <row r="7" spans="1:15" s="3" customFormat="1" ht="17.25" customHeight="1">
      <c r="A7" s="33"/>
      <c r="B7" s="643" t="s">
        <v>4</v>
      </c>
      <c r="C7" s="644"/>
      <c r="D7" s="641" t="s">
        <v>113</v>
      </c>
      <c r="E7" s="641"/>
      <c r="F7" s="641"/>
      <c r="G7" s="625" t="s">
        <v>117</v>
      </c>
      <c r="H7" s="627"/>
      <c r="I7" s="33"/>
      <c r="J7" s="85"/>
      <c r="K7" s="85"/>
      <c r="L7" s="85"/>
      <c r="M7" s="85"/>
      <c r="N7" s="86"/>
      <c r="O7" s="33"/>
    </row>
    <row r="8" spans="1:15" s="3" customFormat="1" ht="12.75" customHeight="1">
      <c r="A8" s="33"/>
      <c r="B8" s="645"/>
      <c r="C8" s="646"/>
      <c r="D8" s="642"/>
      <c r="E8" s="642"/>
      <c r="F8" s="642"/>
      <c r="G8" s="92" t="s">
        <v>115</v>
      </c>
      <c r="H8" s="93" t="s">
        <v>116</v>
      </c>
      <c r="I8" s="33"/>
      <c r="J8" s="85"/>
      <c r="K8" s="85"/>
      <c r="L8" s="85"/>
      <c r="M8" s="85"/>
      <c r="N8" s="86"/>
      <c r="O8" s="33"/>
    </row>
    <row r="9" spans="1:15" ht="19.5" customHeight="1">
      <c r="A9" s="29"/>
      <c r="B9" s="640" t="s">
        <v>107</v>
      </c>
      <c r="C9" s="94" t="s">
        <v>105</v>
      </c>
      <c r="D9" s="95"/>
      <c r="E9" s="194">
        <f>'Analysis Sheet'!P13</f>
        <v>100</v>
      </c>
      <c r="F9" s="96" t="s">
        <v>114</v>
      </c>
      <c r="G9" s="647" t="str">
        <f>+IF(AND('Analysis Sheet'!M18="TRUE",'Analysis Sheet'!M19="TRUE"),"TRUE","FALSE")</f>
        <v>TRUE</v>
      </c>
      <c r="H9" s="649" t="str">
        <f>+IF(G9="TRUE","FALSE","TRUE")</f>
        <v>FALSE</v>
      </c>
      <c r="I9" s="29"/>
      <c r="J9" s="87"/>
      <c r="K9" s="87"/>
      <c r="L9" s="85"/>
      <c r="M9" s="85"/>
      <c r="N9" s="88"/>
      <c r="O9" s="29"/>
    </row>
    <row r="10" spans="1:15" ht="19.5" customHeight="1" thickBot="1">
      <c r="A10" s="29"/>
      <c r="B10" s="612"/>
      <c r="C10" s="97" t="s">
        <v>106</v>
      </c>
      <c r="D10" s="98"/>
      <c r="E10" s="195">
        <f>'Analysis Sheet'!P16</f>
        <v>100</v>
      </c>
      <c r="F10" s="99" t="s">
        <v>114</v>
      </c>
      <c r="G10" s="648"/>
      <c r="H10" s="650"/>
      <c r="I10" s="29"/>
      <c r="J10" s="86"/>
      <c r="K10" s="86"/>
      <c r="L10" s="86"/>
      <c r="M10" s="86"/>
      <c r="N10" s="85"/>
      <c r="O10" s="29"/>
    </row>
    <row r="11" spans="1:15" s="3" customFormat="1" ht="19.5" customHeight="1" thickTop="1">
      <c r="A11" s="33"/>
      <c r="B11" s="611" t="s">
        <v>108</v>
      </c>
      <c r="C11" s="100" t="s">
        <v>109</v>
      </c>
      <c r="D11" s="101"/>
      <c r="E11" s="196">
        <f>+'Analysis Sheet'!P33</f>
        <v>100</v>
      </c>
      <c r="F11" s="102" t="s">
        <v>114</v>
      </c>
      <c r="G11" s="651" t="str">
        <f>+IF(AND('Analysis Sheet'!M38="TRUE",'Analysis Sheet'!M39="TRUE"),"TRUE","FALSE")</f>
        <v>TRUE</v>
      </c>
      <c r="H11" s="653" t="str">
        <f>+IF(G11="TRUE","FALSE","TRUE")</f>
        <v>FALSE</v>
      </c>
      <c r="I11" s="33"/>
      <c r="J11" s="89"/>
      <c r="K11" s="89"/>
      <c r="L11" s="89"/>
      <c r="M11" s="89"/>
      <c r="N11" s="89"/>
      <c r="O11" s="33"/>
    </row>
    <row r="12" spans="1:15" s="3" customFormat="1" ht="19.5" customHeight="1" thickBot="1">
      <c r="A12" s="33"/>
      <c r="B12" s="612"/>
      <c r="C12" s="97" t="s">
        <v>110</v>
      </c>
      <c r="D12" s="98"/>
      <c r="E12" s="195">
        <f>+'Analysis Sheet'!P36</f>
        <v>100</v>
      </c>
      <c r="F12" s="99" t="s">
        <v>114</v>
      </c>
      <c r="G12" s="652"/>
      <c r="H12" s="654"/>
      <c r="I12" s="33"/>
      <c r="J12" s="86"/>
      <c r="K12" s="86"/>
      <c r="L12" s="90"/>
      <c r="M12" s="90"/>
      <c r="N12" s="85"/>
      <c r="O12" s="33"/>
    </row>
    <row r="13" spans="1:15" s="3" customFormat="1" ht="19.5" customHeight="1" thickTop="1">
      <c r="A13" s="33"/>
      <c r="B13" s="611" t="s">
        <v>135</v>
      </c>
      <c r="C13" s="100" t="s">
        <v>136</v>
      </c>
      <c r="D13" s="101"/>
      <c r="E13" s="196">
        <f>IF(E9&lt;E10,E9,E10)</f>
        <v>100</v>
      </c>
      <c r="F13" s="102" t="s">
        <v>114</v>
      </c>
      <c r="G13" s="651" t="str">
        <f>+IF(AND('Analysis Sheet'!G48="TRUE",'Analysis Sheet'!G49="TRUE"),"TRUE","FALSE")</f>
        <v>TRUE</v>
      </c>
      <c r="H13" s="653" t="str">
        <f>+IF(G13="TRUE","FALSE","TRUE")</f>
        <v>FALSE</v>
      </c>
      <c r="I13" s="33"/>
      <c r="J13" s="86"/>
      <c r="K13" s="86"/>
      <c r="L13" s="90"/>
      <c r="M13" s="90"/>
      <c r="N13" s="85"/>
      <c r="O13" s="33"/>
    </row>
    <row r="14" spans="1:15" s="3" customFormat="1" ht="19.5" customHeight="1" thickBot="1">
      <c r="A14" s="33"/>
      <c r="B14" s="612"/>
      <c r="C14" s="97" t="s">
        <v>137</v>
      </c>
      <c r="D14" s="98"/>
      <c r="E14" s="195">
        <f>IF(E11&lt;E12,E11,E12)</f>
        <v>100</v>
      </c>
      <c r="F14" s="99" t="s">
        <v>114</v>
      </c>
      <c r="G14" s="652"/>
      <c r="H14" s="654"/>
      <c r="I14" s="33"/>
      <c r="J14" s="86"/>
      <c r="K14" s="86"/>
      <c r="L14" s="90"/>
      <c r="M14" s="90"/>
      <c r="N14" s="85"/>
      <c r="O14" s="33"/>
    </row>
    <row r="15" spans="1:15" s="3" customFormat="1" ht="19.5" customHeight="1" thickTop="1">
      <c r="A15" s="33"/>
      <c r="B15" s="143" t="s">
        <v>138</v>
      </c>
      <c r="C15" s="144"/>
      <c r="D15" s="145"/>
      <c r="E15" s="197">
        <f>AVERAGE('Analysis Sheet'!M57:N60)</f>
        <v>100</v>
      </c>
      <c r="F15" s="146" t="s">
        <v>114</v>
      </c>
      <c r="G15" s="192" t="str">
        <f>+IF(E15&lt;100,"FALSE","TRUE")</f>
        <v>TRUE</v>
      </c>
      <c r="H15" s="193" t="str">
        <f>+IF(G15="TRUE","FALSE","TRUE")</f>
        <v>FALSE</v>
      </c>
      <c r="I15" s="33"/>
      <c r="J15" s="86"/>
      <c r="K15" s="86"/>
      <c r="L15" s="90"/>
      <c r="M15" s="90"/>
      <c r="N15" s="85"/>
      <c r="O15" s="33"/>
    </row>
    <row r="16" spans="1:15" s="3" customFormat="1" ht="3.75" customHeight="1">
      <c r="A16" s="33"/>
      <c r="B16" s="147"/>
      <c r="C16" s="148"/>
      <c r="D16" s="149"/>
      <c r="E16" s="87"/>
      <c r="F16" s="150"/>
      <c r="G16" s="89"/>
      <c r="H16" s="89"/>
      <c r="I16" s="33"/>
      <c r="J16" s="86"/>
      <c r="K16" s="86"/>
      <c r="L16" s="90"/>
      <c r="M16" s="90"/>
      <c r="N16" s="85"/>
      <c r="O16" s="33"/>
    </row>
    <row r="17" spans="1:15" s="3" customFormat="1" ht="3.75" customHeight="1">
      <c r="A17" s="33"/>
      <c r="B17" s="147"/>
      <c r="C17" s="148"/>
      <c r="D17" s="149"/>
      <c r="E17" s="87"/>
      <c r="F17" s="150"/>
      <c r="G17" s="89"/>
      <c r="H17" s="89"/>
      <c r="I17" s="33"/>
      <c r="J17" s="86"/>
      <c r="K17" s="86"/>
      <c r="L17" s="90"/>
      <c r="M17" s="90"/>
      <c r="N17" s="85"/>
      <c r="O17" s="33"/>
    </row>
    <row r="18" spans="2:14" s="18" customFormat="1" ht="3.75" customHeight="1">
      <c r="B18" s="139"/>
      <c r="C18" s="140"/>
      <c r="D18" s="141"/>
      <c r="E18" s="133"/>
      <c r="F18" s="134"/>
      <c r="G18" s="142"/>
      <c r="H18" s="142"/>
      <c r="J18" s="135"/>
      <c r="K18" s="135"/>
      <c r="L18" s="136"/>
      <c r="M18" s="136"/>
      <c r="N18" s="137"/>
    </row>
    <row r="19" spans="1:15" s="138" customFormat="1" ht="3.75" customHeight="1">
      <c r="A19" s="158"/>
      <c r="B19" s="151"/>
      <c r="C19" s="152"/>
      <c r="D19" s="153"/>
      <c r="E19" s="154"/>
      <c r="F19" s="155"/>
      <c r="G19" s="128"/>
      <c r="H19" s="128"/>
      <c r="I19" s="158"/>
      <c r="J19" s="156"/>
      <c r="K19" s="156"/>
      <c r="L19" s="157"/>
      <c r="M19" s="157"/>
      <c r="N19" s="108"/>
      <c r="O19" s="158"/>
    </row>
    <row r="20" spans="1:15" s="138" customFormat="1" ht="3.75" customHeight="1" thickBot="1">
      <c r="A20" s="158"/>
      <c r="B20" s="151"/>
      <c r="C20" s="152"/>
      <c r="D20" s="153"/>
      <c r="E20" s="154"/>
      <c r="F20" s="155"/>
      <c r="G20" s="128"/>
      <c r="H20" s="128"/>
      <c r="I20" s="158"/>
      <c r="J20" s="156"/>
      <c r="K20" s="156"/>
      <c r="L20" s="157"/>
      <c r="M20" s="157"/>
      <c r="N20" s="108"/>
      <c r="O20" s="158"/>
    </row>
    <row r="21" spans="1:15" s="138" customFormat="1" ht="21.75" customHeight="1" thickTop="1">
      <c r="A21" s="158"/>
      <c r="B21" s="601" t="s">
        <v>204</v>
      </c>
      <c r="C21" s="602"/>
      <c r="D21" s="217"/>
      <c r="E21" s="605">
        <f>+'Analysis Sheet'!I69</f>
        <v>0</v>
      </c>
      <c r="F21" s="607" t="s">
        <v>114</v>
      </c>
      <c r="G21" s="609" t="str">
        <f>+IF('Analysis Sheet'!I69&gt;=100,"TRUE","FALSE")</f>
        <v>FALSE</v>
      </c>
      <c r="H21" s="620" t="str">
        <f>+IF('Analysis Sheet'!I69&lt;100,"TRUE","FALSE")</f>
        <v>TRUE</v>
      </c>
      <c r="I21" s="158"/>
      <c r="J21" s="128"/>
      <c r="K21" s="128"/>
      <c r="L21" s="128"/>
      <c r="M21" s="128"/>
      <c r="N21" s="128"/>
      <c r="O21" s="158"/>
    </row>
    <row r="22" spans="1:15" s="20" customFormat="1" ht="14.25" customHeight="1" thickBot="1">
      <c r="A22" s="53"/>
      <c r="B22" s="603"/>
      <c r="C22" s="604"/>
      <c r="D22" s="218"/>
      <c r="E22" s="606"/>
      <c r="F22" s="608"/>
      <c r="G22" s="610"/>
      <c r="H22" s="621"/>
      <c r="I22" s="53"/>
      <c r="J22" s="129"/>
      <c r="K22" s="129"/>
      <c r="L22" s="129"/>
      <c r="M22" s="130"/>
      <c r="N22" s="55"/>
      <c r="O22" s="53"/>
    </row>
    <row r="23" spans="1:15" s="20" customFormat="1" ht="15.75" customHeight="1" hidden="1" thickTop="1">
      <c r="A23" s="53"/>
      <c r="B23" s="151"/>
      <c r="C23" s="151"/>
      <c r="D23" s="613"/>
      <c r="E23" s="613"/>
      <c r="F23" s="613"/>
      <c r="G23" s="165"/>
      <c r="H23" s="165"/>
      <c r="I23" s="53"/>
      <c r="J23" s="129"/>
      <c r="K23" s="129"/>
      <c r="L23" s="129"/>
      <c r="M23" s="130"/>
      <c r="N23" s="55"/>
      <c r="O23" s="53"/>
    </row>
    <row r="24" spans="1:15" s="20" customFormat="1" ht="3.75" customHeight="1" thickTop="1">
      <c r="A24" s="53"/>
      <c r="B24" s="151"/>
      <c r="C24" s="151"/>
      <c r="D24" s="159"/>
      <c r="E24" s="159"/>
      <c r="F24" s="159"/>
      <c r="G24" s="165"/>
      <c r="H24" s="165"/>
      <c r="I24" s="53"/>
      <c r="J24" s="129"/>
      <c r="K24" s="129"/>
      <c r="L24" s="129"/>
      <c r="M24" s="130"/>
      <c r="N24" s="55"/>
      <c r="O24" s="53"/>
    </row>
    <row r="25" spans="1:15" s="20" customFormat="1" ht="3.75" customHeight="1">
      <c r="A25" s="53"/>
      <c r="B25" s="151"/>
      <c r="C25" s="151"/>
      <c r="D25" s="159"/>
      <c r="E25" s="159"/>
      <c r="F25" s="159"/>
      <c r="G25" s="165"/>
      <c r="H25" s="165"/>
      <c r="I25" s="53"/>
      <c r="J25" s="129"/>
      <c r="K25" s="129"/>
      <c r="L25" s="129"/>
      <c r="M25" s="130"/>
      <c r="N25" s="55"/>
      <c r="O25" s="53"/>
    </row>
    <row r="26" spans="1:15" s="49" customFormat="1" ht="3.75" customHeight="1">
      <c r="A26" s="20"/>
      <c r="B26" s="139"/>
      <c r="C26" s="139"/>
      <c r="D26" s="161"/>
      <c r="E26" s="161"/>
      <c r="F26" s="161"/>
      <c r="G26" s="166"/>
      <c r="H26" s="166"/>
      <c r="I26" s="20"/>
      <c r="J26" s="162"/>
      <c r="K26" s="162"/>
      <c r="L26" s="162"/>
      <c r="M26" s="163"/>
      <c r="N26" s="164"/>
      <c r="O26" s="20"/>
    </row>
    <row r="27" spans="1:15" s="49" customFormat="1" ht="3.75" customHeight="1">
      <c r="A27" s="78"/>
      <c r="B27" s="167"/>
      <c r="C27" s="167"/>
      <c r="D27" s="160"/>
      <c r="E27" s="160"/>
      <c r="F27" s="160"/>
      <c r="G27" s="168"/>
      <c r="H27" s="168"/>
      <c r="I27" s="78"/>
      <c r="J27" s="131"/>
      <c r="K27" s="131"/>
      <c r="L27" s="131"/>
      <c r="M27" s="132"/>
      <c r="N27" s="79"/>
      <c r="O27" s="78"/>
    </row>
    <row r="28" spans="1:15" s="49" customFormat="1" ht="3.75" customHeight="1" thickBot="1">
      <c r="A28" s="78"/>
      <c r="B28" s="167"/>
      <c r="C28" s="167"/>
      <c r="D28" s="160"/>
      <c r="E28" s="160"/>
      <c r="F28" s="160"/>
      <c r="G28" s="168"/>
      <c r="H28" s="168"/>
      <c r="I28" s="78"/>
      <c r="J28" s="131"/>
      <c r="K28" s="131"/>
      <c r="L28" s="131"/>
      <c r="M28" s="132"/>
      <c r="N28" s="79"/>
      <c r="O28" s="78"/>
    </row>
    <row r="29" spans="1:256" ht="19.5" customHeight="1" thickTop="1">
      <c r="A29" s="75"/>
      <c r="B29" s="611" t="s">
        <v>146</v>
      </c>
      <c r="C29" s="100" t="s">
        <v>111</v>
      </c>
      <c r="D29" s="614" t="str">
        <f>+IF(Selections!A52="Not Justified","Justification not met",IF(Selections!A52="Justified","Justification met",""))</f>
        <v>Justification met</v>
      </c>
      <c r="E29" s="615"/>
      <c r="F29" s="616"/>
      <c r="G29" s="609" t="str">
        <f>+IF(AND(Selections!A52="Justified",Selections!A53="Justified"),"TRUE","FALSE")</f>
        <v>FALSE</v>
      </c>
      <c r="H29" s="620" t="str">
        <f>+IF(G29="TRUE","FALSE","TRUE")</f>
        <v>TRUE</v>
      </c>
      <c r="I29" s="75"/>
      <c r="J29" s="131"/>
      <c r="K29" s="131"/>
      <c r="L29" s="75"/>
      <c r="M29" s="132"/>
      <c r="N29" s="79"/>
      <c r="O29" s="75"/>
      <c r="IV29" s="257">
        <f>+IF('Input Data'!N65&gt;(1650-(0.45*'Input Data'!N66)),'Input Data'!N65/(1650-(0.45*'Input Data'!N66)),IF('Input Data'!N65&gt;((0.0001*'Input Data'!N66^2)-(0.146*'Input Data'!N66)+770),'Input Data'!N65/((0.0001*'Input Data'!N66^2)-(0.146*'Input Data'!N66)+770),IF('Input Data'!N65&gt;(340-(0.0094*'Input Data'!N66)),'Input Data'!N65/(340-(0.0094*'Input Data'!N66)),0)))*100</f>
        <v>614.62</v>
      </c>
    </row>
    <row r="30" spans="1:15" ht="19.5" customHeight="1" thickBot="1">
      <c r="A30" s="75"/>
      <c r="B30" s="612"/>
      <c r="C30" s="97" t="s">
        <v>112</v>
      </c>
      <c r="D30" s="617" t="str">
        <f>+IF(Selections!A53="Not Justified","Justification not met",IF(Selections!A53="Justified","Justification met",""))</f>
        <v>Justification not met</v>
      </c>
      <c r="E30" s="618"/>
      <c r="F30" s="619"/>
      <c r="G30" s="610"/>
      <c r="H30" s="621"/>
      <c r="I30" s="75"/>
      <c r="J30" s="131"/>
      <c r="K30" s="131"/>
      <c r="L30" s="131"/>
      <c r="M30" s="132"/>
      <c r="N30" s="79"/>
      <c r="O30" s="75"/>
    </row>
    <row r="31" spans="1:15" ht="9" customHeight="1" thickTop="1">
      <c r="A31" s="75"/>
      <c r="B31" s="75"/>
      <c r="C31" s="75"/>
      <c r="D31" s="75"/>
      <c r="E31" s="75"/>
      <c r="F31" s="75"/>
      <c r="G31" s="75"/>
      <c r="H31" s="75"/>
      <c r="I31" s="75"/>
      <c r="J31" s="75"/>
      <c r="K31" s="75"/>
      <c r="L31" s="75"/>
      <c r="M31" s="75"/>
      <c r="N31" s="76"/>
      <c r="O31" s="75"/>
    </row>
    <row r="32" spans="1:15" ht="8.25" customHeight="1">
      <c r="A32" s="91"/>
      <c r="B32" s="91"/>
      <c r="C32" s="91"/>
      <c r="D32" s="91"/>
      <c r="E32" s="91"/>
      <c r="F32" s="91"/>
      <c r="G32" s="91"/>
      <c r="H32" s="91"/>
      <c r="I32" s="91"/>
      <c r="J32" s="91"/>
      <c r="K32" s="91"/>
      <c r="L32" s="91"/>
      <c r="M32" s="91"/>
      <c r="N32" s="5"/>
      <c r="O32" s="91"/>
    </row>
    <row r="33" spans="1:17" ht="12.75">
      <c r="A33" s="200"/>
      <c r="B33" s="200"/>
      <c r="C33" s="200"/>
      <c r="D33" s="200"/>
      <c r="E33" s="200"/>
      <c r="F33" s="200"/>
      <c r="G33" s="200"/>
      <c r="H33" s="200"/>
      <c r="I33" s="200"/>
      <c r="J33" s="200"/>
      <c r="K33" s="200"/>
      <c r="L33" s="200"/>
      <c r="M33" s="200"/>
      <c r="N33" s="200"/>
      <c r="O33" s="200"/>
      <c r="P33" s="203"/>
      <c r="Q33" s="203"/>
    </row>
    <row r="34" spans="1:17" ht="12.75">
      <c r="A34" s="201"/>
      <c r="B34" s="201"/>
      <c r="C34" s="201"/>
      <c r="D34" s="201"/>
      <c r="E34" s="201"/>
      <c r="F34" s="201"/>
      <c r="G34" s="201"/>
      <c r="H34" s="201"/>
      <c r="I34" s="201"/>
      <c r="J34" s="201"/>
      <c r="K34" s="201"/>
      <c r="L34" s="201"/>
      <c r="M34" s="201"/>
      <c r="N34" s="201"/>
      <c r="O34" s="201"/>
      <c r="P34" s="203"/>
      <c r="Q34" s="203"/>
    </row>
    <row r="35" spans="1:17" ht="12.75">
      <c r="A35" s="202"/>
      <c r="B35" s="202"/>
      <c r="C35" s="202"/>
      <c r="D35" s="202"/>
      <c r="E35" s="202"/>
      <c r="F35" s="202"/>
      <c r="G35" s="202"/>
      <c r="H35" s="202"/>
      <c r="I35" s="202"/>
      <c r="J35" s="202"/>
      <c r="K35" s="202"/>
      <c r="L35" s="202"/>
      <c r="M35" s="202"/>
      <c r="N35" s="202"/>
      <c r="O35" s="202"/>
      <c r="P35" s="203"/>
      <c r="Q35" s="203"/>
    </row>
    <row r="36" spans="1:15" s="103" customFormat="1" ht="12.75" customHeight="1" hidden="1">
      <c r="A36" s="53"/>
      <c r="B36" s="106"/>
      <c r="C36" s="53"/>
      <c r="D36" s="622" t="s">
        <v>53</v>
      </c>
      <c r="E36" s="623"/>
      <c r="F36" s="624"/>
      <c r="G36" s="622" t="s">
        <v>58</v>
      </c>
      <c r="H36" s="623"/>
      <c r="I36" s="624"/>
      <c r="J36" s="107"/>
      <c r="K36" s="53"/>
      <c r="L36" s="53"/>
      <c r="M36" s="53"/>
      <c r="N36" s="55"/>
      <c r="O36" s="53"/>
    </row>
    <row r="37" spans="1:15" s="103" customFormat="1" ht="27.75" customHeight="1" hidden="1">
      <c r="A37" s="53"/>
      <c r="B37" s="632" t="s">
        <v>118</v>
      </c>
      <c r="C37" s="633"/>
      <c r="D37" s="104">
        <v>0</v>
      </c>
      <c r="E37" s="628" t="s">
        <v>123</v>
      </c>
      <c r="F37" s="629"/>
      <c r="G37" s="104">
        <v>0</v>
      </c>
      <c r="H37" s="628" t="s">
        <v>123</v>
      </c>
      <c r="I37" s="629"/>
      <c r="J37" s="57"/>
      <c r="K37" s="53"/>
      <c r="L37" s="53"/>
      <c r="M37" s="53"/>
      <c r="N37" s="55"/>
      <c r="O37" s="53"/>
    </row>
    <row r="38" spans="1:15" s="103" customFormat="1" ht="11.25" hidden="1">
      <c r="A38" s="53"/>
      <c r="B38" s="53"/>
      <c r="C38" s="53"/>
      <c r="D38" s="53"/>
      <c r="E38" s="53"/>
      <c r="F38" s="53"/>
      <c r="G38" s="53"/>
      <c r="H38" s="53"/>
      <c r="I38" s="53"/>
      <c r="J38" s="53"/>
      <c r="K38" s="53"/>
      <c r="L38" s="53"/>
      <c r="M38" s="53"/>
      <c r="N38" s="55"/>
      <c r="O38" s="53"/>
    </row>
    <row r="39" spans="1:15" s="103" customFormat="1" ht="11.25" hidden="1">
      <c r="A39" s="53"/>
      <c r="B39" s="53"/>
      <c r="C39" s="53"/>
      <c r="D39" s="53"/>
      <c r="E39" s="53"/>
      <c r="F39" s="53"/>
      <c r="G39" s="53"/>
      <c r="H39" s="53"/>
      <c r="I39" s="53"/>
      <c r="J39" s="53"/>
      <c r="K39" s="53"/>
      <c r="L39" s="53"/>
      <c r="M39" s="53"/>
      <c r="N39" s="55"/>
      <c r="O39" s="53"/>
    </row>
    <row r="40" spans="1:15" s="103" customFormat="1" ht="11.25" hidden="1">
      <c r="A40" s="53"/>
      <c r="B40" s="53"/>
      <c r="C40" s="108"/>
      <c r="D40" s="625" t="s">
        <v>119</v>
      </c>
      <c r="E40" s="626"/>
      <c r="F40" s="627"/>
      <c r="G40" s="108"/>
      <c r="H40" s="53"/>
      <c r="I40" s="53"/>
      <c r="J40" s="53"/>
      <c r="K40" s="53"/>
      <c r="L40" s="53"/>
      <c r="M40" s="53"/>
      <c r="N40" s="55"/>
      <c r="O40" s="53"/>
    </row>
    <row r="41" spans="1:15" s="103" customFormat="1" ht="27.75" customHeight="1" hidden="1">
      <c r="A41" s="53"/>
      <c r="B41" s="636" t="s">
        <v>120</v>
      </c>
      <c r="C41" s="637"/>
      <c r="D41" s="105"/>
      <c r="E41" s="634" t="s">
        <v>123</v>
      </c>
      <c r="F41" s="635"/>
      <c r="G41" s="53"/>
      <c r="H41" s="53"/>
      <c r="I41" s="53"/>
      <c r="J41" s="53"/>
      <c r="K41" s="53"/>
      <c r="L41" s="53"/>
      <c r="M41" s="53"/>
      <c r="N41" s="55"/>
      <c r="O41" s="53"/>
    </row>
    <row r="42" spans="1:15" s="103" customFormat="1" ht="27.75" customHeight="1" hidden="1">
      <c r="A42" s="53"/>
      <c r="B42" s="638" t="s">
        <v>121</v>
      </c>
      <c r="C42" s="639"/>
      <c r="D42" s="105"/>
      <c r="E42" s="634" t="s">
        <v>123</v>
      </c>
      <c r="F42" s="635"/>
      <c r="G42" s="53"/>
      <c r="H42" s="53"/>
      <c r="I42" s="53"/>
      <c r="J42" s="53"/>
      <c r="K42" s="53"/>
      <c r="L42" s="53"/>
      <c r="M42" s="53"/>
      <c r="N42" s="55"/>
      <c r="O42" s="53"/>
    </row>
    <row r="43" spans="1:15" s="103" customFormat="1" ht="27.75" customHeight="1" hidden="1">
      <c r="A43" s="53"/>
      <c r="B43" s="630" t="s">
        <v>122</v>
      </c>
      <c r="C43" s="631"/>
      <c r="D43" s="104"/>
      <c r="E43" s="628" t="s">
        <v>123</v>
      </c>
      <c r="F43" s="629"/>
      <c r="G43" s="53"/>
      <c r="H43" s="53"/>
      <c r="I43" s="53"/>
      <c r="J43" s="53"/>
      <c r="K43" s="53"/>
      <c r="L43" s="53"/>
      <c r="M43" s="53"/>
      <c r="N43" s="55"/>
      <c r="O43" s="53"/>
    </row>
    <row r="44" spans="1:15" ht="11.25" hidden="1">
      <c r="A44" s="50"/>
      <c r="B44" s="50"/>
      <c r="C44" s="50"/>
      <c r="D44" s="50"/>
      <c r="E44" s="50"/>
      <c r="F44" s="50"/>
      <c r="G44" s="50"/>
      <c r="H44" s="50"/>
      <c r="I44" s="50"/>
      <c r="J44" s="50"/>
      <c r="K44" s="50"/>
      <c r="L44" s="50"/>
      <c r="M44" s="50"/>
      <c r="N44" s="51"/>
      <c r="O44" s="50"/>
    </row>
  </sheetData>
  <sheetProtection password="CC31" sheet="1" objects="1" scenarios="1"/>
  <mergeCells count="38">
    <mergeCell ref="H21:H22"/>
    <mergeCell ref="G7:H7"/>
    <mergeCell ref="B13:B14"/>
    <mergeCell ref="B11:B12"/>
    <mergeCell ref="G9:G10"/>
    <mergeCell ref="H9:H10"/>
    <mergeCell ref="G11:G12"/>
    <mergeCell ref="H11:H12"/>
    <mergeCell ref="G13:G14"/>
    <mergeCell ref="H13:H14"/>
    <mergeCell ref="B3:E3"/>
    <mergeCell ref="B4:E4"/>
    <mergeCell ref="B5:C5"/>
    <mergeCell ref="B9:B10"/>
    <mergeCell ref="D7:F8"/>
    <mergeCell ref="B7:C8"/>
    <mergeCell ref="B43:C43"/>
    <mergeCell ref="E43:F43"/>
    <mergeCell ref="B37:C37"/>
    <mergeCell ref="D36:F36"/>
    <mergeCell ref="E41:F41"/>
    <mergeCell ref="E42:F42"/>
    <mergeCell ref="B41:C41"/>
    <mergeCell ref="B42:C42"/>
    <mergeCell ref="H29:H30"/>
    <mergeCell ref="G36:I36"/>
    <mergeCell ref="D40:F40"/>
    <mergeCell ref="E37:F37"/>
    <mergeCell ref="H37:I37"/>
    <mergeCell ref="B21:C22"/>
    <mergeCell ref="E21:E22"/>
    <mergeCell ref="F21:F22"/>
    <mergeCell ref="G29:G30"/>
    <mergeCell ref="B29:B30"/>
    <mergeCell ref="D23:F23"/>
    <mergeCell ref="G21:G22"/>
    <mergeCell ref="D29:F29"/>
    <mergeCell ref="D30:F30"/>
  </mergeCells>
  <printOptions horizontalCentered="1"/>
  <pageMargins left="0.45" right="0.45" top="0.45" bottom="0.45" header="0.3" footer="0.3"/>
  <pageSetup fitToHeight="1" fitToWidth="1" horizontalDpi="600" verticalDpi="600" orientation="portrait" scale="70" r:id="rId2"/>
  <headerFooter alignWithMargins="0">
    <oddFooter>&amp;L&amp;A&amp;C&amp;F&amp;R&amp;D</oddFooter>
  </headerFooter>
  <drawing r:id="rId1"/>
</worksheet>
</file>

<file path=xl/worksheets/sheet4.xml><?xml version="1.0" encoding="utf-8"?>
<worksheet xmlns="http://schemas.openxmlformats.org/spreadsheetml/2006/main" xmlns:r="http://schemas.openxmlformats.org/officeDocument/2006/relationships">
  <sheetPr codeName="Sheet2"/>
  <dimension ref="A1:R79"/>
  <sheetViews>
    <sheetView showGridLines="0" showRowColHeaders="0" defaultGridColor="0" colorId="55" workbookViewId="0" topLeftCell="A1">
      <pane ySplit="2" topLeftCell="BD3" activePane="bottomLeft" state="frozen"/>
      <selection pane="topLeft" activeCell="A1" sqref="A1"/>
      <selection pane="bottomLeft" activeCell="B14" sqref="B14:C14"/>
    </sheetView>
  </sheetViews>
  <sheetFormatPr defaultColWidth="11.421875" defaultRowHeight="12.75"/>
  <cols>
    <col min="1" max="1" width="6.140625" style="0" customWidth="1"/>
    <col min="2" max="3" width="14.00390625" style="0" customWidth="1"/>
    <col min="4" max="9" width="9.140625" style="0" customWidth="1"/>
    <col min="10" max="10" width="9.57421875" style="0" customWidth="1"/>
    <col min="11" max="13" width="9.140625" style="0" customWidth="1"/>
    <col min="14" max="15" width="4.7109375" style="0" customWidth="1"/>
    <col min="16" max="16384" width="9.140625" style="0" customWidth="1"/>
  </cols>
  <sheetData>
    <row r="1" spans="1:15" s="2" customFormat="1" ht="28.5" customHeight="1">
      <c r="A1" s="19"/>
      <c r="B1" s="704" t="s">
        <v>233</v>
      </c>
      <c r="C1" s="704"/>
      <c r="D1" s="704"/>
      <c r="E1" s="704"/>
      <c r="F1" s="704"/>
      <c r="G1" s="19"/>
      <c r="H1" s="19"/>
      <c r="I1" s="19"/>
      <c r="J1" s="19"/>
      <c r="K1" s="19"/>
      <c r="L1" s="19"/>
      <c r="M1" s="19"/>
      <c r="N1" s="84"/>
      <c r="O1" s="19"/>
    </row>
    <row r="2" spans="1:15" s="2" customFormat="1" ht="26.25" customHeight="1">
      <c r="A2" s="19"/>
      <c r="B2" s="704"/>
      <c r="C2" s="704"/>
      <c r="D2" s="704"/>
      <c r="E2" s="704"/>
      <c r="F2" s="704"/>
      <c r="G2" s="19"/>
      <c r="H2" s="19"/>
      <c r="I2" s="19"/>
      <c r="J2" s="19"/>
      <c r="K2" s="19"/>
      <c r="L2" s="19"/>
      <c r="M2" s="19"/>
      <c r="N2" s="84"/>
      <c r="O2" s="19"/>
    </row>
    <row r="4" spans="1:18" ht="19.5" customHeight="1">
      <c r="A4" s="42"/>
      <c r="B4" s="83" t="s">
        <v>234</v>
      </c>
      <c r="C4" s="42"/>
      <c r="D4" s="42"/>
      <c r="E4" s="42"/>
      <c r="F4" s="42"/>
      <c r="G4" s="42"/>
      <c r="H4" s="42"/>
      <c r="I4" s="42"/>
      <c r="J4" s="42"/>
      <c r="K4" s="42"/>
      <c r="L4" s="42"/>
      <c r="M4" s="42"/>
      <c r="N4" s="42"/>
      <c r="O4" s="42"/>
      <c r="P4" s="173"/>
      <c r="Q4" s="173"/>
      <c r="R4" s="173"/>
    </row>
    <row r="5" spans="1:18" ht="12.75">
      <c r="A5" s="42"/>
      <c r="B5" s="43"/>
      <c r="C5" s="42"/>
      <c r="D5" s="42"/>
      <c r="E5" s="42"/>
      <c r="F5" s="42"/>
      <c r="G5" s="42"/>
      <c r="H5" s="42"/>
      <c r="I5" s="42"/>
      <c r="J5" s="42"/>
      <c r="K5" s="42"/>
      <c r="L5" s="42"/>
      <c r="M5" s="42"/>
      <c r="N5" s="42"/>
      <c r="O5" s="42"/>
      <c r="P5" s="173"/>
      <c r="Q5" s="173"/>
      <c r="R5" s="173"/>
    </row>
    <row r="6" spans="1:18" ht="12.75">
      <c r="A6" s="42"/>
      <c r="B6" s="43" t="s">
        <v>15</v>
      </c>
      <c r="C6" s="42" t="s">
        <v>170</v>
      </c>
      <c r="D6" s="42"/>
      <c r="E6" s="44"/>
      <c r="F6" s="42"/>
      <c r="G6" s="42"/>
      <c r="H6" s="42"/>
      <c r="I6" s="42"/>
      <c r="J6" s="42"/>
      <c r="K6" s="42"/>
      <c r="L6" s="42"/>
      <c r="M6" s="42"/>
      <c r="N6" s="42"/>
      <c r="O6" s="42"/>
      <c r="P6" s="173"/>
      <c r="Q6" s="173"/>
      <c r="R6" s="173"/>
    </row>
    <row r="7" spans="1:18" ht="12.75">
      <c r="A7" s="42"/>
      <c r="B7" s="43"/>
      <c r="C7" s="42"/>
      <c r="D7" s="42"/>
      <c r="E7" s="42"/>
      <c r="F7" s="42"/>
      <c r="G7" s="42"/>
      <c r="H7" s="42"/>
      <c r="I7" s="42"/>
      <c r="J7" s="42"/>
      <c r="K7" s="42"/>
      <c r="L7" s="42"/>
      <c r="M7" s="42"/>
      <c r="N7" s="42"/>
      <c r="O7" s="42"/>
      <c r="P7" s="173"/>
      <c r="Q7" s="173"/>
      <c r="R7" s="173"/>
    </row>
    <row r="8" spans="1:18" ht="12.75">
      <c r="A8" s="42"/>
      <c r="B8" s="43" t="s">
        <v>16</v>
      </c>
      <c r="C8" s="42" t="s">
        <v>169</v>
      </c>
      <c r="D8" s="42"/>
      <c r="E8" s="42"/>
      <c r="F8" s="42"/>
      <c r="G8" s="42"/>
      <c r="H8" s="42"/>
      <c r="I8" s="42"/>
      <c r="J8" s="42"/>
      <c r="K8" s="42"/>
      <c r="L8" s="42"/>
      <c r="M8" s="42"/>
      <c r="N8" s="42"/>
      <c r="O8" s="42"/>
      <c r="P8" s="173"/>
      <c r="Q8" s="173"/>
      <c r="R8" s="173"/>
    </row>
    <row r="9" spans="1:18" ht="12.75">
      <c r="A9" s="42"/>
      <c r="B9" s="43"/>
      <c r="C9" s="42"/>
      <c r="D9" s="42"/>
      <c r="E9" s="42"/>
      <c r="F9" s="42"/>
      <c r="G9" s="42"/>
      <c r="H9" s="42"/>
      <c r="I9" s="42"/>
      <c r="J9" s="42"/>
      <c r="K9" s="42"/>
      <c r="L9" s="42"/>
      <c r="M9" s="42"/>
      <c r="N9" s="42"/>
      <c r="O9" s="42"/>
      <c r="P9" s="173"/>
      <c r="Q9" s="173"/>
      <c r="R9" s="173"/>
    </row>
    <row r="10" spans="1:18" ht="12.75">
      <c r="A10" s="42"/>
      <c r="B10" s="43" t="s">
        <v>17</v>
      </c>
      <c r="C10" s="42" t="s">
        <v>171</v>
      </c>
      <c r="D10" s="42"/>
      <c r="E10" s="42"/>
      <c r="F10" s="42"/>
      <c r="G10" s="42"/>
      <c r="H10" s="42"/>
      <c r="I10" s="42"/>
      <c r="J10" s="42"/>
      <c r="K10" s="42"/>
      <c r="L10" s="42"/>
      <c r="M10" s="42"/>
      <c r="N10" s="42"/>
      <c r="O10" s="42"/>
      <c r="P10" s="173"/>
      <c r="Q10" s="173"/>
      <c r="R10" s="173"/>
    </row>
    <row r="11" spans="1:18" ht="12.75">
      <c r="A11" s="42"/>
      <c r="B11" s="42"/>
      <c r="C11" s="42"/>
      <c r="D11" s="42"/>
      <c r="E11" s="42"/>
      <c r="F11" s="42"/>
      <c r="G11" s="42"/>
      <c r="H11" s="42"/>
      <c r="I11" s="42"/>
      <c r="J11" s="42"/>
      <c r="K11" s="42"/>
      <c r="L11" s="42"/>
      <c r="M11" s="42"/>
      <c r="N11" s="42"/>
      <c r="O11" s="42"/>
      <c r="P11" s="173"/>
      <c r="Q11" s="173"/>
      <c r="R11" s="173"/>
    </row>
    <row r="12" spans="1:18" ht="14.25" customHeight="1">
      <c r="A12" s="42"/>
      <c r="B12" s="354" t="s">
        <v>40</v>
      </c>
      <c r="C12" s="352"/>
      <c r="D12" s="359" t="s">
        <v>41</v>
      </c>
      <c r="E12" s="672"/>
      <c r="F12" s="673" t="s">
        <v>42</v>
      </c>
      <c r="G12" s="674"/>
      <c r="H12" s="674"/>
      <c r="I12" s="674"/>
      <c r="J12" s="674"/>
      <c r="K12" s="674"/>
      <c r="L12" s="675"/>
      <c r="M12" s="45"/>
      <c r="N12" s="42"/>
      <c r="O12" s="42"/>
      <c r="P12" s="173"/>
      <c r="Q12" s="173"/>
      <c r="R12" s="173"/>
    </row>
    <row r="13" spans="1:18" ht="27" customHeight="1">
      <c r="A13" s="42"/>
      <c r="B13" s="670"/>
      <c r="C13" s="671"/>
      <c r="D13" s="37" t="s">
        <v>43</v>
      </c>
      <c r="E13" s="38" t="s">
        <v>44</v>
      </c>
      <c r="F13" s="37" t="s">
        <v>52</v>
      </c>
      <c r="G13" s="39" t="s">
        <v>45</v>
      </c>
      <c r="H13" s="39" t="s">
        <v>46</v>
      </c>
      <c r="I13" s="39" t="s">
        <v>47</v>
      </c>
      <c r="J13" s="40" t="s">
        <v>48</v>
      </c>
      <c r="K13" s="39" t="s">
        <v>49</v>
      </c>
      <c r="L13" s="41" t="s">
        <v>50</v>
      </c>
      <c r="M13" s="42"/>
      <c r="N13" s="42"/>
      <c r="O13" s="42"/>
      <c r="P13" s="173"/>
      <c r="Q13" s="173"/>
      <c r="R13" s="173"/>
    </row>
    <row r="14" spans="1:18" ht="12.75">
      <c r="A14" s="42"/>
      <c r="B14" s="676">
        <v>2000</v>
      </c>
      <c r="C14" s="677"/>
      <c r="D14" s="113">
        <v>21626.29757785467</v>
      </c>
      <c r="E14" s="114">
        <v>3892.733564013841</v>
      </c>
      <c r="F14" s="113">
        <v>0</v>
      </c>
      <c r="G14" s="115">
        <v>4</v>
      </c>
      <c r="H14" s="115">
        <v>5</v>
      </c>
      <c r="I14" s="115">
        <v>1</v>
      </c>
      <c r="J14" s="115">
        <v>4</v>
      </c>
      <c r="K14" s="115">
        <v>0</v>
      </c>
      <c r="L14" s="114">
        <v>0</v>
      </c>
      <c r="M14" s="42"/>
      <c r="N14" s="42"/>
      <c r="O14" s="42"/>
      <c r="P14" s="173"/>
      <c r="Q14" s="173"/>
      <c r="R14" s="173"/>
    </row>
    <row r="15" spans="1:18" ht="12.75">
      <c r="A15" s="42"/>
      <c r="B15" s="676">
        <v>2001</v>
      </c>
      <c r="C15" s="677"/>
      <c r="D15" s="113">
        <v>22058.823529411762</v>
      </c>
      <c r="E15" s="114">
        <v>3970.5882352941176</v>
      </c>
      <c r="F15" s="113">
        <v>0</v>
      </c>
      <c r="G15" s="115">
        <v>6</v>
      </c>
      <c r="H15" s="115">
        <v>4</v>
      </c>
      <c r="I15" s="115">
        <v>1</v>
      </c>
      <c r="J15" s="115">
        <v>3</v>
      </c>
      <c r="K15" s="115">
        <v>1</v>
      </c>
      <c r="L15" s="114">
        <v>1</v>
      </c>
      <c r="M15" s="42"/>
      <c r="N15" s="42"/>
      <c r="O15" s="42"/>
      <c r="P15" s="173"/>
      <c r="Q15" s="173"/>
      <c r="R15" s="173"/>
    </row>
    <row r="16" spans="1:18" ht="12.75">
      <c r="A16" s="42"/>
      <c r="B16" s="676">
        <v>2002</v>
      </c>
      <c r="C16" s="677"/>
      <c r="D16" s="113">
        <v>22500</v>
      </c>
      <c r="E16" s="114">
        <v>4050</v>
      </c>
      <c r="F16" s="113">
        <v>0</v>
      </c>
      <c r="G16" s="115">
        <v>7</v>
      </c>
      <c r="H16" s="115">
        <v>5</v>
      </c>
      <c r="I16" s="115">
        <v>2</v>
      </c>
      <c r="J16" s="115">
        <v>2</v>
      </c>
      <c r="K16" s="115">
        <v>1</v>
      </c>
      <c r="L16" s="114">
        <v>0</v>
      </c>
      <c r="M16" s="42"/>
      <c r="N16" s="42"/>
      <c r="O16" s="42"/>
      <c r="P16" s="173"/>
      <c r="Q16" s="173"/>
      <c r="R16" s="173"/>
    </row>
    <row r="17" spans="1:18" ht="12.75">
      <c r="A17" s="42"/>
      <c r="B17" s="676">
        <v>2003</v>
      </c>
      <c r="C17" s="677"/>
      <c r="D17" s="113">
        <v>23300</v>
      </c>
      <c r="E17" s="114">
        <v>4200</v>
      </c>
      <c r="F17" s="113">
        <v>0</v>
      </c>
      <c r="G17" s="115">
        <v>8</v>
      </c>
      <c r="H17" s="115">
        <v>3</v>
      </c>
      <c r="I17" s="115">
        <v>3</v>
      </c>
      <c r="J17" s="115">
        <v>2</v>
      </c>
      <c r="K17" s="115">
        <v>1</v>
      </c>
      <c r="L17" s="114">
        <v>0</v>
      </c>
      <c r="M17" s="42"/>
      <c r="N17" s="42"/>
      <c r="O17" s="42"/>
      <c r="P17" s="173"/>
      <c r="Q17" s="173"/>
      <c r="R17" s="173"/>
    </row>
    <row r="18" spans="1:18" ht="12.75">
      <c r="A18" s="42"/>
      <c r="B18" s="676">
        <v>2004</v>
      </c>
      <c r="C18" s="677"/>
      <c r="D18" s="113">
        <v>23648</v>
      </c>
      <c r="E18" s="114">
        <v>6528</v>
      </c>
      <c r="F18" s="113">
        <v>0</v>
      </c>
      <c r="G18" s="115">
        <v>9</v>
      </c>
      <c r="H18" s="115">
        <v>0</v>
      </c>
      <c r="I18" s="115">
        <v>4</v>
      </c>
      <c r="J18" s="115">
        <v>1</v>
      </c>
      <c r="K18" s="115">
        <v>0</v>
      </c>
      <c r="L18" s="114">
        <v>0</v>
      </c>
      <c r="M18" s="42"/>
      <c r="N18" s="42"/>
      <c r="O18" s="42"/>
      <c r="P18" s="173"/>
      <c r="Q18" s="173"/>
      <c r="R18" s="173"/>
    </row>
    <row r="19" spans="1:18" ht="12.75">
      <c r="A19" s="42"/>
      <c r="B19" s="678"/>
      <c r="C19" s="679"/>
      <c r="D19" s="116"/>
      <c r="E19" s="117"/>
      <c r="F19" s="116"/>
      <c r="G19" s="118"/>
      <c r="H19" s="118"/>
      <c r="I19" s="118"/>
      <c r="J19" s="118"/>
      <c r="K19" s="118"/>
      <c r="L19" s="117"/>
      <c r="M19" s="42"/>
      <c r="N19" s="42"/>
      <c r="O19" s="42"/>
      <c r="P19" s="173"/>
      <c r="Q19" s="173"/>
      <c r="R19" s="173"/>
    </row>
    <row r="20" spans="1:18" ht="12.75" customHeight="1">
      <c r="A20" s="42"/>
      <c r="B20" s="42"/>
      <c r="C20" s="42"/>
      <c r="D20" s="42"/>
      <c r="E20" s="42"/>
      <c r="F20" s="42"/>
      <c r="G20" s="42"/>
      <c r="H20" s="42"/>
      <c r="I20" s="42"/>
      <c r="J20" s="42"/>
      <c r="K20" s="42"/>
      <c r="L20" s="42"/>
      <c r="M20" s="42"/>
      <c r="N20" s="42"/>
      <c r="O20" s="42"/>
      <c r="P20" s="173"/>
      <c r="Q20" s="173"/>
      <c r="R20" s="173"/>
    </row>
    <row r="21" spans="1:18" ht="22.5">
      <c r="A21" s="42"/>
      <c r="B21" s="680" t="s">
        <v>18</v>
      </c>
      <c r="C21" s="681" t="s">
        <v>172</v>
      </c>
      <c r="D21" s="681"/>
      <c r="E21" s="681"/>
      <c r="F21" s="681"/>
      <c r="G21" s="681"/>
      <c r="H21" s="681"/>
      <c r="I21" s="681"/>
      <c r="J21" s="682"/>
      <c r="K21" s="190" t="s">
        <v>40</v>
      </c>
      <c r="L21" s="46" t="s">
        <v>235</v>
      </c>
      <c r="M21" s="46" t="s">
        <v>44</v>
      </c>
      <c r="N21" s="42"/>
      <c r="O21" s="42"/>
      <c r="P21" s="173"/>
      <c r="Q21" s="173"/>
      <c r="R21" s="173"/>
    </row>
    <row r="22" spans="1:18" ht="18" customHeight="1">
      <c r="A22" s="42"/>
      <c r="B22" s="680"/>
      <c r="C22" s="681"/>
      <c r="D22" s="681"/>
      <c r="E22" s="681"/>
      <c r="F22" s="681"/>
      <c r="G22" s="681"/>
      <c r="H22" s="681"/>
      <c r="I22" s="681"/>
      <c r="J22" s="682"/>
      <c r="K22" s="189"/>
      <c r="L22" s="47"/>
      <c r="M22" s="48"/>
      <c r="N22" s="42"/>
      <c r="O22" s="42"/>
      <c r="P22" s="173"/>
      <c r="Q22" s="173"/>
      <c r="R22" s="173"/>
    </row>
    <row r="23" spans="1:18" ht="12.75">
      <c r="A23" s="42"/>
      <c r="B23" s="42"/>
      <c r="C23" s="42"/>
      <c r="D23" s="42"/>
      <c r="E23" s="42"/>
      <c r="F23" s="42"/>
      <c r="G23" s="42"/>
      <c r="H23" s="42"/>
      <c r="I23" s="42"/>
      <c r="J23" s="42"/>
      <c r="K23" s="42"/>
      <c r="L23" s="42"/>
      <c r="M23" s="42"/>
      <c r="N23" s="42"/>
      <c r="O23" s="42"/>
      <c r="P23" s="173"/>
      <c r="Q23" s="173"/>
      <c r="R23" s="173"/>
    </row>
    <row r="24" spans="1:18" ht="12.75">
      <c r="A24" s="42"/>
      <c r="B24" s="42"/>
      <c r="C24" s="42"/>
      <c r="D24" s="42"/>
      <c r="E24" s="42"/>
      <c r="F24" s="42"/>
      <c r="G24" s="42"/>
      <c r="H24" s="42"/>
      <c r="I24" s="42"/>
      <c r="J24" s="42"/>
      <c r="K24" s="42"/>
      <c r="L24" s="42"/>
      <c r="M24" s="42"/>
      <c r="N24" s="42"/>
      <c r="O24" s="42"/>
      <c r="P24" s="173"/>
      <c r="Q24" s="173"/>
      <c r="R24" s="173"/>
    </row>
    <row r="25" spans="16:18" ht="12.75">
      <c r="P25" s="173"/>
      <c r="Q25" s="173"/>
      <c r="R25" s="173"/>
    </row>
    <row r="26" spans="16:18" ht="12.75">
      <c r="P26" s="173"/>
      <c r="Q26" s="173"/>
      <c r="R26" s="173"/>
    </row>
    <row r="27" spans="1:18" s="2" customFormat="1" ht="19.5" customHeight="1">
      <c r="A27" s="50"/>
      <c r="B27" s="655" t="s">
        <v>236</v>
      </c>
      <c r="C27" s="655"/>
      <c r="D27" s="655"/>
      <c r="E27" s="655"/>
      <c r="F27" s="50"/>
      <c r="G27" s="50"/>
      <c r="H27" s="50"/>
      <c r="I27" s="50"/>
      <c r="J27" s="50"/>
      <c r="K27" s="50"/>
      <c r="L27" s="50"/>
      <c r="M27" s="50"/>
      <c r="N27" s="51"/>
      <c r="O27" s="50"/>
      <c r="P27" s="17"/>
      <c r="Q27" s="17"/>
      <c r="R27" s="17"/>
    </row>
    <row r="28" spans="1:15" s="2" customFormat="1" ht="11.25">
      <c r="A28" s="50"/>
      <c r="B28" s="50"/>
      <c r="C28" s="50"/>
      <c r="D28" s="50"/>
      <c r="E28" s="50"/>
      <c r="F28" s="50"/>
      <c r="G28" s="50"/>
      <c r="H28" s="50"/>
      <c r="I28" s="50"/>
      <c r="J28" s="50"/>
      <c r="K28" s="50"/>
      <c r="L28" s="50"/>
      <c r="M28" s="50"/>
      <c r="N28" s="51"/>
      <c r="O28" s="50"/>
    </row>
    <row r="29" spans="1:15" s="2" customFormat="1" ht="18">
      <c r="A29" s="50"/>
      <c r="B29" s="683" t="s">
        <v>53</v>
      </c>
      <c r="C29" s="683"/>
      <c r="D29" s="52"/>
      <c r="E29" s="52"/>
      <c r="F29" s="52"/>
      <c r="G29" s="52"/>
      <c r="H29" s="52"/>
      <c r="I29" s="52"/>
      <c r="J29" s="52"/>
      <c r="K29" s="50"/>
      <c r="L29" s="50"/>
      <c r="M29" s="50"/>
      <c r="N29" s="51"/>
      <c r="O29" s="50"/>
    </row>
    <row r="30" spans="1:15" s="49" customFormat="1" ht="11.25" customHeight="1">
      <c r="A30" s="53"/>
      <c r="B30" s="54"/>
      <c r="C30" s="53"/>
      <c r="D30" s="52"/>
      <c r="E30" s="52"/>
      <c r="F30" s="52"/>
      <c r="G30" s="52"/>
      <c r="H30" s="52"/>
      <c r="I30" s="52"/>
      <c r="J30" s="52"/>
      <c r="K30" s="52"/>
      <c r="L30" s="53"/>
      <c r="M30" s="53"/>
      <c r="N30" s="55"/>
      <c r="O30" s="53"/>
    </row>
    <row r="31" spans="1:15" s="2" customFormat="1" ht="22.5" customHeight="1">
      <c r="A31" s="50"/>
      <c r="B31" s="684"/>
      <c r="C31" s="684"/>
      <c r="D31" s="170">
        <f>+IF(B14="","",B14)</f>
        <v>2000</v>
      </c>
      <c r="E31" s="171">
        <f>+IF(B15="","",B15)</f>
        <v>2001</v>
      </c>
      <c r="F31" s="171">
        <f>+IF(B16="","",B16)</f>
        <v>2002</v>
      </c>
      <c r="G31" s="171">
        <f>+IF(B17="","",B17)</f>
        <v>2003</v>
      </c>
      <c r="H31" s="171">
        <f>+IF(B18="","",B18)</f>
        <v>2004</v>
      </c>
      <c r="I31" s="172">
        <f>+IF(B19="","",B19)</f>
      </c>
      <c r="J31" s="187">
        <f>+IF(Selections!A32="","",VALUE(Selections!A32))</f>
        <v>2004</v>
      </c>
      <c r="K31" s="188" t="str">
        <f>+IF(J31="","","(Signal)")</f>
        <v>(Signal)</v>
      </c>
      <c r="L31" s="50"/>
      <c r="M31" s="50"/>
      <c r="N31" s="51"/>
      <c r="O31" s="50"/>
    </row>
    <row r="32" spans="1:15" s="2" customFormat="1" ht="22.5" customHeight="1">
      <c r="A32" s="50"/>
      <c r="B32" s="685" t="s">
        <v>54</v>
      </c>
      <c r="C32" s="686"/>
      <c r="D32" s="184">
        <f>+IF(D31="","",G14+J14)</f>
        <v>8</v>
      </c>
      <c r="E32" s="185">
        <f>+IF(E31="","",G15+J15)</f>
        <v>9</v>
      </c>
      <c r="F32" s="185">
        <f>+IF(F31="","",G16+J16)</f>
        <v>9</v>
      </c>
      <c r="G32" s="185">
        <f>+IF(G31="","",G17+J17)</f>
        <v>10</v>
      </c>
      <c r="H32" s="185">
        <f>+IF(H31="","",G18+J18)</f>
        <v>10</v>
      </c>
      <c r="I32" s="186">
        <f>+IF(I31="","",G19+J19)</f>
      </c>
      <c r="J32" s="687" t="str">
        <f>+IF(J31="","","---")</f>
        <v>---</v>
      </c>
      <c r="K32" s="688"/>
      <c r="L32" s="50"/>
      <c r="M32" s="50"/>
      <c r="N32" s="51"/>
      <c r="O32" s="50"/>
    </row>
    <row r="33" spans="1:15" s="2" customFormat="1" ht="22.5" customHeight="1">
      <c r="A33" s="50"/>
      <c r="B33" s="689" t="s">
        <v>55</v>
      </c>
      <c r="C33" s="690"/>
      <c r="D33" s="110">
        <f>+IF(D31="","",IF(Selections!$B$11="3",0.81,1.95))</f>
        <v>0.81</v>
      </c>
      <c r="E33" s="112">
        <f>+IF(E31="","",IF(Selections!$B$11="3",0.81,1.95))</f>
        <v>0.81</v>
      </c>
      <c r="F33" s="112">
        <f>+IF(F31="","",IF(Selections!$B$11="3",0.81,1.95))</f>
        <v>0.81</v>
      </c>
      <c r="G33" s="112">
        <f>+IF(G31="","",IF(Selections!$B$11="3",0.81,1.95))</f>
        <v>0.81</v>
      </c>
      <c r="H33" s="112">
        <f>+IF(H31="","",IF(Selections!$B$11="3",0.81,1.95))</f>
        <v>0.81</v>
      </c>
      <c r="I33" s="109">
        <f>+IF(I31="","",IF(Selections!$B$11="3",0.81,1.95))</f>
      </c>
      <c r="J33" s="691">
        <f>+IF(J31="","",IF(Selections!$B$11="3",0.6,1.92))</f>
        <v>0.6</v>
      </c>
      <c r="K33" s="692"/>
      <c r="L33" s="50"/>
      <c r="M33" s="50"/>
      <c r="N33" s="51"/>
      <c r="O33" s="50"/>
    </row>
    <row r="34" spans="1:15" s="2" customFormat="1" ht="22.5" customHeight="1">
      <c r="A34" s="50"/>
      <c r="B34" s="689" t="s">
        <v>56</v>
      </c>
      <c r="C34" s="690"/>
      <c r="D34" s="111">
        <f>+IF(D31="","",IF(Selections!$B$11="3",EXP(-10.1734+(1.1429*LN($D$14+$E$14))+(0.5551*LN($E$14/($D$14+$E$14)))),EXP(-10.3765+(1.2609*LN($D$14+$E$14)+(0.7342*LN($E$14/($D$14+$E$14)))))))</f>
        <v>1.4623578360434308</v>
      </c>
      <c r="E34" s="178">
        <f>+IF(E31="","",IF(Selections!$B$11="3",EXP(-10.1734+(1.1429*LN($D$15+$E$15))+(0.5551*LN($E$15/($D$15+$E$15)))),EXP(-10.3765+(1.2609*LN($D$15+$E$15)+(0.7342*LN($E$15/($D$15+$E$15)))))))</f>
        <v>1.4958319076035358</v>
      </c>
      <c r="F34" s="178">
        <f>+IF(F31="","",IF(Selections!$B$11="3",EXP(-10.1734+(1.1429*LN($D$16+$E$16))+(0.5551*LN($E$16/($D$16+$E$16)))),EXP(-10.3765+(1.2609*LN($D$16+$E$16)+(0.7342*LN($E$16/($D$16+$E$16)))))))</f>
        <v>1.5300722167008514</v>
      </c>
      <c r="G34" s="178">
        <f>+IF(G31="","",IF(Selections!$B$11="3",EXP(-10.1734+(1.1429*LN($D$17+$E$17))+(0.5551*LN($E$17/($D$17+$E$17)))),EXP(-10.3765+(1.2609*LN($D$17+$E$17)+(0.7342*LN($E$17/($D$17+$E$17)))))))</f>
        <v>1.5938738901242262</v>
      </c>
      <c r="H34" s="178">
        <f>+IF(H31="","",IF(Selections!$B$11="3",EXP(-10.1734+(1.1429*LN($D$18+$E$18))+(0.5551*LN($E$18/($D$18+$E$18)))),EXP(-10.3765+(1.2609*LN($D$18+$E$18)+(0.7342*LN($E$18/($D$18+$E$18)))))))</f>
        <v>2.1501962839322877</v>
      </c>
      <c r="I34" s="169">
        <f>+IF(I31="","",IF(Selections!$B$11="3",EXP(-10.1734+(1.1429*LN($D$19+$E$19))+(0.5551*LN($E$19/($D$19+$E$19)))),EXP(-10.3765+(1.2609*LN($D$19+$E$19)+(0.7342*LN($E$19/($D$19+$E$19)))))))</f>
      </c>
      <c r="J34" s="691">
        <f>+IF(J31="","",IF(Selections!$B$11="3",EXP(-10.1734+(1.1429*LN(Selections!$A$34+Selections!$B$34))+(0.5551*LN(Selections!$B$34/(Selections!$A$34+Selections!$B$34)))),EXP(-10.3765+(1.2609*LN(Selections!$A$34+Selections!$B$34)+(0.7342*LN(Selections!$B$34/(Selections!$A$34+Selections!$B$34)))))))</f>
        <v>2.1501962839322877</v>
      </c>
      <c r="K34" s="692"/>
      <c r="L34" s="50"/>
      <c r="M34" s="50"/>
      <c r="N34" s="51"/>
      <c r="O34" s="50"/>
    </row>
    <row r="35" spans="1:15" s="2" customFormat="1" ht="22.5" customHeight="1">
      <c r="A35" s="50"/>
      <c r="B35" s="689" t="s">
        <v>131</v>
      </c>
      <c r="C35" s="690"/>
      <c r="D35" s="179">
        <f aca="true" t="shared" si="0" ref="D35:K35">+IF(D34="","",LOOKUP($J$31,$D$31:$I$31,D34/($D$34:$I$34)))</f>
        <v>0.6801043453433306</v>
      </c>
      <c r="E35" s="180">
        <f t="shared" si="0"/>
        <v>0.6956722596822428</v>
      </c>
      <c r="F35" s="180">
        <f t="shared" si="0"/>
        <v>0.7115965310397845</v>
      </c>
      <c r="G35" s="180">
        <f t="shared" si="0"/>
        <v>0.7412690190354823</v>
      </c>
      <c r="H35" s="180">
        <f t="shared" si="0"/>
        <v>1</v>
      </c>
      <c r="I35" s="183">
        <f t="shared" si="0"/>
      </c>
      <c r="J35" s="693">
        <f t="shared" si="0"/>
        <v>1</v>
      </c>
      <c r="K35" s="694">
        <f t="shared" si="0"/>
      </c>
      <c r="L35" s="50"/>
      <c r="M35" s="50"/>
      <c r="N35" s="51"/>
      <c r="O35" s="50"/>
    </row>
    <row r="36" spans="1:15" s="2" customFormat="1" ht="22.5" customHeight="1">
      <c r="A36" s="50"/>
      <c r="B36" s="74" t="s">
        <v>57</v>
      </c>
      <c r="C36" s="182"/>
      <c r="D36" s="695">
        <f>IF(SUM(D35:I35)=0,"",SUM(D35:I35))</f>
        <v>3.82864215510084</v>
      </c>
      <c r="E36" s="696"/>
      <c r="F36" s="696"/>
      <c r="G36" s="696"/>
      <c r="H36" s="696"/>
      <c r="I36" s="697"/>
      <c r="J36" s="696">
        <f>+J35</f>
        <v>1</v>
      </c>
      <c r="K36" s="697"/>
      <c r="L36" s="50"/>
      <c r="M36" s="50"/>
      <c r="N36" s="51"/>
      <c r="O36" s="50"/>
    </row>
    <row r="37" spans="1:15" s="2" customFormat="1" ht="12.75">
      <c r="A37" s="50"/>
      <c r="B37" s="56"/>
      <c r="C37" s="57"/>
      <c r="D37" s="58"/>
      <c r="E37" s="58"/>
      <c r="F37" s="58"/>
      <c r="G37" s="58"/>
      <c r="H37" s="58"/>
      <c r="I37" s="57"/>
      <c r="J37" s="59"/>
      <c r="K37" s="50"/>
      <c r="L37" s="50"/>
      <c r="M37" s="50"/>
      <c r="N37" s="51"/>
      <c r="O37" s="50"/>
    </row>
    <row r="38" spans="1:15" s="2" customFormat="1" ht="18">
      <c r="A38" s="50"/>
      <c r="B38" s="683" t="s">
        <v>58</v>
      </c>
      <c r="C38" s="683"/>
      <c r="D38" s="52"/>
      <c r="E38" s="52"/>
      <c r="F38" s="52"/>
      <c r="G38" s="52"/>
      <c r="H38" s="52"/>
      <c r="I38" s="52"/>
      <c r="J38" s="52"/>
      <c r="K38" s="50"/>
      <c r="L38" s="50"/>
      <c r="M38" s="50"/>
      <c r="N38" s="51"/>
      <c r="O38" s="50"/>
    </row>
    <row r="39" spans="1:15" s="49" customFormat="1" ht="11.25" customHeight="1">
      <c r="A39" s="53"/>
      <c r="B39" s="60"/>
      <c r="C39" s="60"/>
      <c r="D39" s="52"/>
      <c r="E39" s="52"/>
      <c r="F39" s="52"/>
      <c r="G39" s="52"/>
      <c r="H39" s="52"/>
      <c r="I39" s="52"/>
      <c r="J39" s="52"/>
      <c r="K39" s="53"/>
      <c r="L39" s="53"/>
      <c r="M39" s="53"/>
      <c r="N39" s="55"/>
      <c r="O39" s="53"/>
    </row>
    <row r="40" spans="1:15" s="2" customFormat="1" ht="22.5" customHeight="1">
      <c r="A40" s="50"/>
      <c r="B40" s="458"/>
      <c r="C40" s="458"/>
      <c r="D40" s="170">
        <f>+D31</f>
        <v>2000</v>
      </c>
      <c r="E40" s="171">
        <f aca="true" t="shared" si="1" ref="E40:K40">+E31</f>
        <v>2001</v>
      </c>
      <c r="F40" s="171">
        <f t="shared" si="1"/>
        <v>2002</v>
      </c>
      <c r="G40" s="171">
        <f t="shared" si="1"/>
        <v>2003</v>
      </c>
      <c r="H40" s="171">
        <f t="shared" si="1"/>
        <v>2004</v>
      </c>
      <c r="I40" s="172">
        <f t="shared" si="1"/>
      </c>
      <c r="J40" s="187">
        <f t="shared" si="1"/>
        <v>2004</v>
      </c>
      <c r="K40" s="188" t="str">
        <f t="shared" si="1"/>
        <v>(Signal)</v>
      </c>
      <c r="L40" s="50"/>
      <c r="M40" s="50"/>
      <c r="N40" s="51"/>
      <c r="O40" s="50"/>
    </row>
    <row r="41" spans="1:15" s="2" customFormat="1" ht="22.5" customHeight="1">
      <c r="A41" s="50"/>
      <c r="B41" s="685" t="s">
        <v>54</v>
      </c>
      <c r="C41" s="686"/>
      <c r="D41" s="184">
        <f>+IF(D31="","",$F$14+$H$14+$I$14+$K$14+$L$14)</f>
        <v>6</v>
      </c>
      <c r="E41" s="185">
        <f>+IF(E31="","",$F$15+$H$15+$I$15+$K$15+$L$15)</f>
        <v>7</v>
      </c>
      <c r="F41" s="185">
        <f>+IF(F31="","",$F$16+$H$16+$I$16+$K$16+$L$16)</f>
        <v>8</v>
      </c>
      <c r="G41" s="185">
        <f>+IF(G31="","",$F$17+$H$17+$I$17+$K$17+$L$17)</f>
        <v>7</v>
      </c>
      <c r="H41" s="185">
        <f>+IF(H31="","",$F$18+$H$18+$I$18+$K$18+$L$18)</f>
        <v>4</v>
      </c>
      <c r="I41" s="186">
        <f>+IF(I31="","",$F$19+$H$19+$I$19+$K$19+$L$19)</f>
      </c>
      <c r="J41" s="687" t="str">
        <f>+IF(J40="","","---")</f>
        <v>---</v>
      </c>
      <c r="K41" s="688"/>
      <c r="L41" s="50"/>
      <c r="M41" s="50"/>
      <c r="N41" s="51"/>
      <c r="O41" s="50"/>
    </row>
    <row r="42" spans="1:15" s="2" customFormat="1" ht="22.5" customHeight="1">
      <c r="A42" s="50"/>
      <c r="B42" s="689" t="s">
        <v>55</v>
      </c>
      <c r="C42" s="690"/>
      <c r="D42" s="110">
        <f>+IF(D31="","",IF(Selections!$B$11="",0,IF(Selections!$B$11="3",1.47,1.59)))</f>
        <v>1.47</v>
      </c>
      <c r="E42" s="112">
        <f>+IF(E31="","",IF(Selections!$B$11="",0,IF(Selections!$B$11="3",1.47,1.59)))</f>
        <v>1.47</v>
      </c>
      <c r="F42" s="112">
        <f>+IF(F31="","",IF(Selections!$B$11="",0,IF(Selections!$B$11="3",1.47,1.59)))</f>
        <v>1.47</v>
      </c>
      <c r="G42" s="112">
        <f>+IF(G31="","",IF(Selections!$B$11="",0,IF(Selections!$B$11="3",1.47,1.59)))</f>
        <v>1.47</v>
      </c>
      <c r="H42" s="112">
        <f>+IF(H31="","",IF(Selections!$B$11="",0,IF(Selections!$B$11="3",1.47,1.59)))</f>
        <v>1.47</v>
      </c>
      <c r="I42" s="109">
        <f>+IF(I31="","",IF(Selections!$B$11="",0,IF(Selections!$B$11="3",1.47,1.59)))</f>
      </c>
      <c r="J42" s="691">
        <f>+IF(J31="","",IF(Selections!$B$11="",0,IF(Selections!$B$11="3",1.19,1.76)))</f>
        <v>1.19</v>
      </c>
      <c r="K42" s="692"/>
      <c r="L42" s="50"/>
      <c r="M42" s="50"/>
      <c r="N42" s="51"/>
      <c r="O42" s="50"/>
    </row>
    <row r="43" spans="1:15" s="2" customFormat="1" ht="22.5" customHeight="1">
      <c r="A43" s="50"/>
      <c r="B43" s="689" t="s">
        <v>56</v>
      </c>
      <c r="C43" s="690"/>
      <c r="D43" s="111">
        <f>+IF(D31="","",IF(Selections!$B$11="",0,IF(Selections!$B$11="3",EXP(-5.823+(0.6208*LN($D$14+$E$14))+(0.1701*LN($E$14/($D$14+$E$14)))),EXP(-9.1783+(0.2843*LN($E$14))+(0.7267*LN($D$14))))))</f>
        <v>1.1694434874535444</v>
      </c>
      <c r="E43" s="178">
        <f>+IF(E31="","",IF(Selections!$B$11="",0,IF(Selections!$B$11="3",EXP(-5.823+(0.6208*LN($D$15+$E$15))+(0.1701*LN($E$15/($D$15+$E$15)))),EXP(-9.1783+(0.2843*LN($E$15))+(0.7267*LN($D$15))))))</f>
        <v>1.1839087389810996</v>
      </c>
      <c r="F43" s="178">
        <f>+IF(F31="","",IF(Selections!$B$11="",0,IF(Selections!$B$11="3",EXP(-5.823+(0.6208*LN($D$16+$E$16))+(0.1701*LN($E$16/($D$16+$E$16)))),EXP(-9.1783+(0.2843*LN($E$16))+(0.7267*LN($D$16))))))</f>
        <v>1.1985529162147706</v>
      </c>
      <c r="G43" s="178">
        <f>+IF(G31="","",IF(Selections!$B$11="",0,IF(Selections!$B$11="3",EXP(-5.823+(0.6208*LN($D$17+$E$17))+(0.1701*LN($E$17/($D$17+$E$17)))),EXP(-9.1783+(0.2843*LN($E$17))+(0.7267*LN($D$17))))))</f>
        <v>1.225251326263038</v>
      </c>
      <c r="H43" s="178">
        <f>+IF(H31="","",IF(Selections!$B$11="",0,IF(Selections!$B$11="3",EXP(-5.823+(0.6208*LN($D$18+$E$18))+(0.1701*LN($E$18/($D$18+$E$18)))),EXP(-9.1783+(0.2843*LN($E$18))+(0.7267*LN($D$18))))))</f>
        <v>1.3771487422745283</v>
      </c>
      <c r="I43" s="169">
        <f>+IF(I31="","",IF(Selections!$B$11="",0,IF(Selections!$B$11="3",EXP(-5.823+(0.6208*LN($D$19+$E$19))+(0.1701*LN($E$19/($D$19+$E$19)))),EXP(-9.1783+(0.2843*LN($E$19))+(0.7267*LN($D$19))))))</f>
      </c>
      <c r="J43" s="698">
        <f>+IF(J31="","",IF(Selections!B11="",0,IF(Selections!$B$11="3",EXP(-5.823+(0.6208*LN(Selections!$A$34+Selections!$B$34))+(0.1701*LN(Selections!$B$34/(Selections!$A$34+Selections!$B$34)))),EXP(-9.1783+(0.2843*LN(Selections!$B$34))+(0.7267*LN(Selections!$A$34))))))</f>
        <v>1.3771487422745283</v>
      </c>
      <c r="K43" s="692"/>
      <c r="L43" s="50"/>
      <c r="M43" s="50"/>
      <c r="N43" s="51"/>
      <c r="O43" s="50"/>
    </row>
    <row r="44" spans="1:15" s="2" customFormat="1" ht="22.5" customHeight="1">
      <c r="A44" s="50"/>
      <c r="B44" s="699" t="s">
        <v>132</v>
      </c>
      <c r="C44" s="700"/>
      <c r="D44" s="179">
        <f aca="true" t="shared" si="2" ref="D44:I44">+IF(D43="","",LOOKUP($J$40,$D$40:$I$40,D43/$D$43:$I$43))</f>
        <v>0.8491773267149535</v>
      </c>
      <c r="E44" s="180">
        <f t="shared" si="2"/>
        <v>0.8596810951776571</v>
      </c>
      <c r="F44" s="180">
        <f t="shared" si="2"/>
        <v>0.8703147883904064</v>
      </c>
      <c r="G44" s="180">
        <f t="shared" si="2"/>
        <v>0.8897015178181746</v>
      </c>
      <c r="H44" s="180">
        <f t="shared" si="2"/>
        <v>1</v>
      </c>
      <c r="I44" s="183">
        <f t="shared" si="2"/>
      </c>
      <c r="J44" s="701">
        <f>+IF(J43="","",LOOKUP($J$40,$D$40:$I$40,J43/$D$43:$I$43))</f>
        <v>1</v>
      </c>
      <c r="K44" s="694">
        <f>+IF(K43="","",LOOKUP($J$40,$D$40:$I$40,K43/$D$43:$I$43))</f>
      </c>
      <c r="L44" s="50"/>
      <c r="M44" s="50"/>
      <c r="N44" s="51"/>
      <c r="O44" s="50"/>
    </row>
    <row r="45" spans="1:15" s="2" customFormat="1" ht="22.5" customHeight="1">
      <c r="A45" s="50"/>
      <c r="B45" s="702" t="s">
        <v>57</v>
      </c>
      <c r="C45" s="703"/>
      <c r="D45" s="695">
        <f>IF(SUM(D44:I44)=0,"",SUM(D44:I44))</f>
        <v>4.468874728101191</v>
      </c>
      <c r="E45" s="696"/>
      <c r="F45" s="696"/>
      <c r="G45" s="696"/>
      <c r="H45" s="696"/>
      <c r="I45" s="697"/>
      <c r="J45" s="695">
        <f>+J44</f>
        <v>1</v>
      </c>
      <c r="K45" s="697"/>
      <c r="L45" s="50"/>
      <c r="M45" s="50"/>
      <c r="N45" s="51"/>
      <c r="O45" s="50"/>
    </row>
    <row r="46" spans="1:15" s="2" customFormat="1" ht="11.25">
      <c r="A46" s="50"/>
      <c r="B46" s="50"/>
      <c r="C46" s="50"/>
      <c r="D46" s="50"/>
      <c r="E46" s="50"/>
      <c r="F46" s="50"/>
      <c r="G46" s="50"/>
      <c r="H46" s="50"/>
      <c r="I46" s="50"/>
      <c r="J46" s="50"/>
      <c r="K46" s="50"/>
      <c r="L46" s="50"/>
      <c r="M46" s="50"/>
      <c r="N46" s="51"/>
      <c r="O46" s="50"/>
    </row>
    <row r="47" spans="1:15" s="2" customFormat="1" ht="11.25">
      <c r="A47" s="50"/>
      <c r="B47" s="50"/>
      <c r="C47" s="50"/>
      <c r="D47" s="50"/>
      <c r="E47" s="50"/>
      <c r="F47" s="50"/>
      <c r="G47" s="50"/>
      <c r="H47" s="50"/>
      <c r="I47" s="50"/>
      <c r="J47" s="50"/>
      <c r="K47" s="50"/>
      <c r="L47" s="50"/>
      <c r="M47" s="50"/>
      <c r="N47" s="51"/>
      <c r="O47" s="50"/>
    </row>
    <row r="48" spans="1:15" s="2" customFormat="1" ht="11.25">
      <c r="A48" s="50"/>
      <c r="B48" s="50"/>
      <c r="C48" s="50"/>
      <c r="D48" s="50"/>
      <c r="E48" s="50"/>
      <c r="F48" s="50"/>
      <c r="G48" s="50"/>
      <c r="H48" s="50"/>
      <c r="I48" s="50"/>
      <c r="J48" s="50"/>
      <c r="K48" s="50"/>
      <c r="L48" s="50"/>
      <c r="M48" s="50"/>
      <c r="N48" s="51"/>
      <c r="O48" s="50"/>
    </row>
    <row r="49" spans="1:15" s="17" customFormat="1" ht="33.75">
      <c r="A49" s="50"/>
      <c r="B49" s="56"/>
      <c r="C49" s="53"/>
      <c r="D49" s="66" t="s">
        <v>53</v>
      </c>
      <c r="E49" s="67" t="s">
        <v>58</v>
      </c>
      <c r="F49" s="53"/>
      <c r="G49" s="53"/>
      <c r="H49" s="50"/>
      <c r="I49" s="50"/>
      <c r="J49" s="50"/>
      <c r="K49" s="50"/>
      <c r="L49" s="51"/>
      <c r="M49" s="50"/>
      <c r="N49" s="50"/>
      <c r="O49" s="50"/>
    </row>
    <row r="50" spans="1:15" s="17" customFormat="1" ht="25.5" customHeight="1">
      <c r="A50" s="50"/>
      <c r="B50" s="707" t="s">
        <v>59</v>
      </c>
      <c r="C50" s="708"/>
      <c r="D50" s="68">
        <f>IF(D31="","",SUM(D32:I32))</f>
        <v>46</v>
      </c>
      <c r="E50" s="63">
        <f>IF(D40="","",SUM(D41:I41))</f>
        <v>32</v>
      </c>
      <c r="F50" s="53"/>
      <c r="G50" s="50"/>
      <c r="H50" s="50"/>
      <c r="I50" s="50"/>
      <c r="J50" s="50"/>
      <c r="K50" s="50"/>
      <c r="L50" s="51"/>
      <c r="M50" s="50"/>
      <c r="N50" s="50"/>
      <c r="O50" s="50"/>
    </row>
    <row r="51" spans="1:15" s="17" customFormat="1" ht="25.5" customHeight="1">
      <c r="A51" s="50"/>
      <c r="B51" s="707" t="s">
        <v>60</v>
      </c>
      <c r="C51" s="708"/>
      <c r="D51" s="69">
        <f>+IF(J31="","",LOOKUP(J31,D31:I31,D34:I34))</f>
        <v>2.1501962839322877</v>
      </c>
      <c r="E51" s="64">
        <f>+IF(J40="","",LOOKUP(J40,D40:I40,D43:I43))</f>
        <v>1.3771487422745283</v>
      </c>
      <c r="F51" s="53"/>
      <c r="G51" s="53"/>
      <c r="H51" s="50"/>
      <c r="I51" s="50"/>
      <c r="J51" s="50"/>
      <c r="K51" s="50"/>
      <c r="L51" s="51"/>
      <c r="M51" s="50"/>
      <c r="N51" s="50"/>
      <c r="O51" s="50"/>
    </row>
    <row r="52" spans="1:15" s="17" customFormat="1" ht="25.5" customHeight="1">
      <c r="A52" s="50"/>
      <c r="B52" s="707" t="s">
        <v>61</v>
      </c>
      <c r="C52" s="708"/>
      <c r="D52" s="69">
        <f>IF(D50="","",(J36*(LOOKUP(J31,D31:H31,D33:H33)+D50))/(((LOOKUP(J31,D31:H31,D33:H33))/(LOOKUP(J31,D31:H31,D34:H34)))+D36))</f>
        <v>11.131054085915947</v>
      </c>
      <c r="E52" s="64">
        <f>IF(E50="","",(J45*(LOOKUP(J40,D40:I40,D42:I42)+E50))/(((LOOKUP(J40,D40:I40,D42:I42))/(LOOKUP(J40,D40:I40,D43:I43)))+D45))</f>
        <v>6.0455565624913525</v>
      </c>
      <c r="F52" s="53"/>
      <c r="G52" s="53"/>
      <c r="H52" s="50"/>
      <c r="I52" s="50"/>
      <c r="J52" s="50"/>
      <c r="K52" s="50"/>
      <c r="L52" s="51"/>
      <c r="M52" s="50"/>
      <c r="N52" s="50"/>
      <c r="O52" s="50"/>
    </row>
    <row r="53" spans="1:15" s="17" customFormat="1" ht="25.5" customHeight="1">
      <c r="A53" s="50"/>
      <c r="B53" s="707" t="s">
        <v>62</v>
      </c>
      <c r="C53" s="708"/>
      <c r="D53" s="69">
        <f>IF(D50="","",(J36*(LOOKUP(J31,D31:H31,D33:H33)+D50))/((((LOOKUP(J31,D31:H31,D33:H33))/(LOOKUP(J31,D31:H31,D34:H34)))+D36)^2))</f>
        <v>2.646878125690794</v>
      </c>
      <c r="E53" s="64">
        <f>IF(E50="","",(J45*(LOOKUP(J40,D40:I40,D42:I42)+E50))/((((LOOKUP(J40,D40:I40,D42:I42))/(LOOKUP(J40,D40:I40,D43:I43)))+D45)^2))</f>
        <v>1.0919854840239693</v>
      </c>
      <c r="F53" s="53"/>
      <c r="G53" s="53"/>
      <c r="H53" s="50"/>
      <c r="I53" s="50"/>
      <c r="J53" s="50"/>
      <c r="K53" s="50"/>
      <c r="L53" s="51"/>
      <c r="M53" s="50"/>
      <c r="N53" s="50"/>
      <c r="O53" s="50"/>
    </row>
    <row r="54" spans="1:15" s="17" customFormat="1" ht="25.5" customHeight="1">
      <c r="A54" s="50"/>
      <c r="B54" s="707" t="s">
        <v>63</v>
      </c>
      <c r="C54" s="708"/>
      <c r="D54" s="69">
        <f>IF(D50="","",IF(Selections!$B$11=3,EXP(0.6807+(0.5391*LN(Selections!$B$34/(Selections!$A$34+Selections!$B$34)))),EXP(-6.1923+(0.7416*LN(Selections!$A$34+Selections!$B$34))+(0.4707*LN(Selections!$B$34/(Selections!$A$34+Selections!$B$34))))))</f>
        <v>2.088697952458876</v>
      </c>
      <c r="E54" s="64">
        <f>IF(E50="","",IF(Selections!$B$11=3,EXP(0.9286+(0.3839*LN(Selections!$B$34/(Selections!$A$34+Selections!$B$34)))),EXP(-10.0081+(0.3319*LN(Selections!$B$34))+(0.8224*LN(Selections!$A$34)))))</f>
        <v>3.286029472697767</v>
      </c>
      <c r="F54" s="53"/>
      <c r="G54" s="53"/>
      <c r="H54" s="50"/>
      <c r="I54" s="50"/>
      <c r="J54" s="50"/>
      <c r="K54" s="50"/>
      <c r="L54" s="51"/>
      <c r="M54" s="50"/>
      <c r="N54" s="50"/>
      <c r="O54" s="50"/>
    </row>
    <row r="55" spans="1:15" s="17" customFormat="1" ht="25.5" customHeight="1">
      <c r="A55" s="50"/>
      <c r="B55" s="707" t="s">
        <v>64</v>
      </c>
      <c r="C55" s="708"/>
      <c r="D55" s="69">
        <f>IF(D50="","",(D54*D52)/D51)</f>
        <v>10.812691869898979</v>
      </c>
      <c r="E55" s="69">
        <f>IF(E50="","",(E54*E52)/E51)</f>
        <v>14.42536774233775</v>
      </c>
      <c r="F55" s="53"/>
      <c r="G55" s="53"/>
      <c r="H55" s="50"/>
      <c r="I55" s="50"/>
      <c r="J55" s="50"/>
      <c r="K55" s="50"/>
      <c r="L55" s="51"/>
      <c r="M55" s="50"/>
      <c r="N55" s="50"/>
      <c r="O55" s="50"/>
    </row>
    <row r="56" spans="1:15" s="17" customFormat="1" ht="25.5" customHeight="1">
      <c r="A56" s="50"/>
      <c r="B56" s="709" t="s">
        <v>65</v>
      </c>
      <c r="C56" s="710"/>
      <c r="D56" s="70">
        <f>IF(D50="","",(D55^2)/J33)</f>
        <v>194.8571757889658</v>
      </c>
      <c r="E56" s="70">
        <f>IF(E50="","",(E55^2)/J42)</f>
        <v>174.8665836148559</v>
      </c>
      <c r="F56" s="53"/>
      <c r="G56" s="53"/>
      <c r="H56" s="50"/>
      <c r="I56" s="50"/>
      <c r="J56" s="50"/>
      <c r="K56" s="50"/>
      <c r="L56" s="51"/>
      <c r="M56" s="50"/>
      <c r="N56" s="50"/>
      <c r="O56" s="50"/>
    </row>
    <row r="57" spans="1:15" s="17" customFormat="1" ht="9" customHeight="1">
      <c r="A57" s="50"/>
      <c r="B57" s="61"/>
      <c r="C57" s="53"/>
      <c r="D57" s="59"/>
      <c r="E57" s="59"/>
      <c r="F57" s="53"/>
      <c r="G57" s="53"/>
      <c r="H57" s="50"/>
      <c r="I57" s="50"/>
      <c r="J57" s="50"/>
      <c r="K57" s="50"/>
      <c r="L57" s="51"/>
      <c r="M57" s="50"/>
      <c r="N57" s="50"/>
      <c r="O57" s="50"/>
    </row>
    <row r="58" spans="1:15" s="17" customFormat="1" ht="9" customHeight="1">
      <c r="A58" s="50"/>
      <c r="B58" s="61"/>
      <c r="C58" s="53"/>
      <c r="D58" s="62"/>
      <c r="E58" s="59"/>
      <c r="F58" s="53"/>
      <c r="G58" s="53"/>
      <c r="H58" s="50"/>
      <c r="I58" s="50"/>
      <c r="J58" s="50"/>
      <c r="K58" s="50"/>
      <c r="L58" s="51"/>
      <c r="M58" s="50"/>
      <c r="N58" s="50"/>
      <c r="O58" s="50"/>
    </row>
    <row r="59" spans="1:15" s="17" customFormat="1" ht="33.75">
      <c r="A59" s="50"/>
      <c r="B59" s="61"/>
      <c r="C59" s="53"/>
      <c r="D59" s="66" t="s">
        <v>53</v>
      </c>
      <c r="E59" s="67" t="s">
        <v>58</v>
      </c>
      <c r="F59" s="53"/>
      <c r="G59" s="53"/>
      <c r="H59" s="50"/>
      <c r="I59" s="50"/>
      <c r="J59" s="50"/>
      <c r="K59" s="50"/>
      <c r="L59" s="51"/>
      <c r="M59" s="50"/>
      <c r="N59" s="50"/>
      <c r="O59" s="50"/>
    </row>
    <row r="60" spans="1:15" s="17" customFormat="1" ht="25.5" customHeight="1">
      <c r="A60" s="50"/>
      <c r="B60" s="711" t="s">
        <v>66</v>
      </c>
      <c r="C60" s="712"/>
      <c r="D60" s="71">
        <v>0.27</v>
      </c>
      <c r="E60" s="72">
        <v>0.18</v>
      </c>
      <c r="F60" s="53"/>
      <c r="G60" s="53"/>
      <c r="H60" s="50"/>
      <c r="I60" s="50"/>
      <c r="J60" s="50"/>
      <c r="K60" s="50"/>
      <c r="L60" s="51"/>
      <c r="M60" s="50"/>
      <c r="N60" s="50"/>
      <c r="O60" s="50"/>
    </row>
    <row r="61" spans="1:15" s="17" customFormat="1" ht="25.5" customHeight="1">
      <c r="A61" s="50"/>
      <c r="B61" s="705" t="s">
        <v>67</v>
      </c>
      <c r="C61" s="706"/>
      <c r="D61" s="73">
        <v>0.29</v>
      </c>
      <c r="E61" s="65">
        <v>0.25</v>
      </c>
      <c r="F61" s="53"/>
      <c r="G61" s="53"/>
      <c r="H61" s="50"/>
      <c r="I61" s="50"/>
      <c r="J61" s="50"/>
      <c r="K61" s="50"/>
      <c r="L61" s="51"/>
      <c r="M61" s="50"/>
      <c r="N61" s="50"/>
      <c r="O61" s="50"/>
    </row>
    <row r="62" spans="1:15" s="2" customFormat="1" ht="11.25">
      <c r="A62" s="50"/>
      <c r="B62" s="50"/>
      <c r="C62" s="50"/>
      <c r="D62" s="50"/>
      <c r="E62" s="50"/>
      <c r="F62" s="50"/>
      <c r="G62" s="50"/>
      <c r="H62" s="50"/>
      <c r="I62" s="50"/>
      <c r="J62" s="50"/>
      <c r="K62" s="50"/>
      <c r="L62" s="50"/>
      <c r="M62" s="50"/>
      <c r="N62" s="51"/>
      <c r="O62" s="50"/>
    </row>
    <row r="64" spans="1:15" s="18" customFormat="1" ht="19.5" customHeight="1">
      <c r="A64" s="127"/>
      <c r="B64" s="655" t="s">
        <v>119</v>
      </c>
      <c r="C64" s="655"/>
      <c r="D64" s="655"/>
      <c r="E64" s="655"/>
      <c r="F64" s="155"/>
      <c r="G64" s="128"/>
      <c r="H64" s="128"/>
      <c r="I64" s="127"/>
      <c r="J64" s="156"/>
      <c r="K64" s="156"/>
      <c r="L64" s="157"/>
      <c r="M64" s="157"/>
      <c r="N64" s="108"/>
      <c r="O64" s="127"/>
    </row>
    <row r="65" spans="1:15" s="138" customFormat="1" ht="3.75" customHeight="1">
      <c r="A65" s="158"/>
      <c r="B65" s="151"/>
      <c r="C65" s="152"/>
      <c r="D65" s="153"/>
      <c r="E65" s="154"/>
      <c r="F65" s="155"/>
      <c r="G65" s="128"/>
      <c r="H65" s="128"/>
      <c r="I65" s="158"/>
      <c r="J65" s="156"/>
      <c r="K65" s="156"/>
      <c r="L65" s="157"/>
      <c r="M65" s="157"/>
      <c r="N65" s="108"/>
      <c r="O65" s="158"/>
    </row>
    <row r="66" spans="1:15" s="138" customFormat="1" ht="3.75" customHeight="1">
      <c r="A66" s="158"/>
      <c r="B66" s="151"/>
      <c r="C66" s="152"/>
      <c r="D66" s="153"/>
      <c r="E66" s="154"/>
      <c r="F66" s="155"/>
      <c r="G66" s="128"/>
      <c r="H66" s="128"/>
      <c r="I66" s="158"/>
      <c r="J66" s="156"/>
      <c r="K66" s="156"/>
      <c r="L66" s="157"/>
      <c r="M66" s="157"/>
      <c r="N66" s="108"/>
      <c r="O66" s="158"/>
    </row>
    <row r="67" spans="1:15" s="138" customFormat="1" ht="3.75" customHeight="1">
      <c r="A67" s="158"/>
      <c r="B67" s="151"/>
      <c r="C67" s="152"/>
      <c r="D67" s="153"/>
      <c r="E67" s="154"/>
      <c r="F67" s="155"/>
      <c r="G67" s="128"/>
      <c r="H67" s="128"/>
      <c r="I67" s="158"/>
      <c r="J67" s="156"/>
      <c r="K67" s="156"/>
      <c r="L67" s="157"/>
      <c r="M67" s="157"/>
      <c r="N67" s="108"/>
      <c r="O67" s="158"/>
    </row>
    <row r="68" spans="1:15" s="138" customFormat="1" ht="3.75" customHeight="1">
      <c r="A68" s="158"/>
      <c r="B68" s="151"/>
      <c r="C68" s="152"/>
      <c r="D68" s="153"/>
      <c r="E68" s="154"/>
      <c r="F68" s="155"/>
      <c r="G68" s="128"/>
      <c r="H68" s="128"/>
      <c r="I68" s="158"/>
      <c r="J68" s="156"/>
      <c r="K68" s="156"/>
      <c r="L68" s="157"/>
      <c r="M68" s="157"/>
      <c r="N68" s="108"/>
      <c r="O68" s="158"/>
    </row>
    <row r="69" spans="1:15" s="3" customFormat="1" ht="17.25" customHeight="1">
      <c r="A69" s="127"/>
      <c r="B69" s="643" t="s">
        <v>4</v>
      </c>
      <c r="C69" s="644"/>
      <c r="D69" s="641" t="s">
        <v>113</v>
      </c>
      <c r="E69" s="641"/>
      <c r="F69" s="641"/>
      <c r="G69" s="625" t="s">
        <v>117</v>
      </c>
      <c r="H69" s="627"/>
      <c r="I69" s="127"/>
      <c r="J69" s="108"/>
      <c r="K69" s="108"/>
      <c r="L69" s="108"/>
      <c r="M69" s="108"/>
      <c r="N69" s="156"/>
      <c r="O69" s="127"/>
    </row>
    <row r="70" spans="1:15" s="3" customFormat="1" ht="12.75" customHeight="1" thickBot="1">
      <c r="A70" s="127"/>
      <c r="B70" s="645"/>
      <c r="C70" s="646"/>
      <c r="D70" s="642"/>
      <c r="E70" s="642"/>
      <c r="F70" s="642"/>
      <c r="G70" s="92" t="s">
        <v>115</v>
      </c>
      <c r="H70" s="93" t="s">
        <v>116</v>
      </c>
      <c r="I70" s="127"/>
      <c r="J70" s="108"/>
      <c r="K70" s="108"/>
      <c r="L70" s="108"/>
      <c r="M70" s="108"/>
      <c r="N70" s="156"/>
      <c r="O70" s="127"/>
    </row>
    <row r="71" spans="1:15" s="3" customFormat="1" ht="21.75" customHeight="1" thickTop="1">
      <c r="A71" s="127"/>
      <c r="B71" s="656" t="s">
        <v>139</v>
      </c>
      <c r="C71" s="657"/>
      <c r="D71" s="614" t="s">
        <v>122</v>
      </c>
      <c r="E71" s="615"/>
      <c r="F71" s="198">
        <f>+((D61*D55)+(E61*E55))-((D60*D52)+(E60*E52))</f>
        <v>2.648437793409392</v>
      </c>
      <c r="G71" s="662" t="str">
        <f>+IF(F71&lt;0,"TRUE","FALSE")</f>
        <v>FALSE</v>
      </c>
      <c r="H71" s="653" t="str">
        <f>+IF(G71="TRUE","FALSE","TRUE")</f>
        <v>TRUE</v>
      </c>
      <c r="I71" s="127"/>
      <c r="J71" s="128"/>
      <c r="K71" s="128"/>
      <c r="L71" s="128"/>
      <c r="M71" s="128"/>
      <c r="N71" s="128"/>
      <c r="O71" s="127"/>
    </row>
    <row r="72" spans="1:15" s="2" customFormat="1" ht="14.25" customHeight="1">
      <c r="A72" s="50"/>
      <c r="B72" s="658"/>
      <c r="C72" s="659"/>
      <c r="D72" s="665" t="s">
        <v>140</v>
      </c>
      <c r="E72" s="666"/>
      <c r="F72" s="199" t="str">
        <f>+IF(F71&lt;0,"Decrease","Increase")</f>
        <v>Increase</v>
      </c>
      <c r="G72" s="663"/>
      <c r="H72" s="664"/>
      <c r="I72" s="50"/>
      <c r="J72" s="129"/>
      <c r="K72" s="129"/>
      <c r="L72" s="129"/>
      <c r="M72" s="130"/>
      <c r="N72" s="55"/>
      <c r="O72" s="50"/>
    </row>
    <row r="73" spans="1:15" s="2" customFormat="1" ht="15.75" customHeight="1" thickBot="1">
      <c r="A73" s="50"/>
      <c r="B73" s="660"/>
      <c r="C73" s="661"/>
      <c r="D73" s="667" t="s">
        <v>141</v>
      </c>
      <c r="E73" s="668"/>
      <c r="F73" s="669"/>
      <c r="G73" s="121"/>
      <c r="H73" s="122"/>
      <c r="I73" s="50"/>
      <c r="J73" s="129"/>
      <c r="K73" s="129"/>
      <c r="L73" s="129"/>
      <c r="M73" s="130"/>
      <c r="N73" s="55"/>
      <c r="O73" s="50"/>
    </row>
    <row r="74" spans="1:15" s="49" customFormat="1" ht="3.75" customHeight="1" thickTop="1">
      <c r="A74" s="53"/>
      <c r="B74" s="151"/>
      <c r="C74" s="151"/>
      <c r="D74" s="159"/>
      <c r="E74" s="159"/>
      <c r="F74" s="159"/>
      <c r="G74" s="165"/>
      <c r="H74" s="165"/>
      <c r="I74" s="53"/>
      <c r="J74" s="129"/>
      <c r="K74" s="129"/>
      <c r="L74" s="129"/>
      <c r="M74" s="130"/>
      <c r="N74" s="55"/>
      <c r="O74" s="53"/>
    </row>
    <row r="75" spans="1:15" s="49" customFormat="1" ht="3.75" customHeight="1">
      <c r="A75" s="53"/>
      <c r="B75" s="151"/>
      <c r="C75" s="151"/>
      <c r="D75" s="159"/>
      <c r="E75" s="159"/>
      <c r="F75" s="159"/>
      <c r="G75" s="165"/>
      <c r="H75" s="165"/>
      <c r="I75" s="53"/>
      <c r="J75" s="129"/>
      <c r="K75" s="129"/>
      <c r="L75" s="129"/>
      <c r="M75" s="130"/>
      <c r="N75" s="55"/>
      <c r="O75" s="53"/>
    </row>
    <row r="77" spans="1:17" ht="12.75">
      <c r="A77" s="200"/>
      <c r="B77" s="200"/>
      <c r="C77" s="200"/>
      <c r="D77" s="200"/>
      <c r="E77" s="200"/>
      <c r="F77" s="200"/>
      <c r="G77" s="200"/>
      <c r="H77" s="200"/>
      <c r="I77" s="200"/>
      <c r="J77" s="200"/>
      <c r="K77" s="200"/>
      <c r="L77" s="200"/>
      <c r="M77" s="200"/>
      <c r="N77" s="200"/>
      <c r="O77" s="200"/>
      <c r="P77" s="203"/>
      <c r="Q77" s="203"/>
    </row>
    <row r="78" spans="1:17" ht="12.75">
      <c r="A78" s="201"/>
      <c r="B78" s="201"/>
      <c r="C78" s="201"/>
      <c r="D78" s="201"/>
      <c r="E78" s="201"/>
      <c r="F78" s="201"/>
      <c r="G78" s="201"/>
      <c r="H78" s="201"/>
      <c r="I78" s="201"/>
      <c r="J78" s="201"/>
      <c r="K78" s="201"/>
      <c r="L78" s="201"/>
      <c r="M78" s="201"/>
      <c r="N78" s="201"/>
      <c r="O78" s="201"/>
      <c r="P78" s="203"/>
      <c r="Q78" s="203"/>
    </row>
    <row r="79" spans="1:17" ht="12.75">
      <c r="A79" s="202"/>
      <c r="B79" s="202"/>
      <c r="C79" s="202"/>
      <c r="D79" s="202"/>
      <c r="E79" s="202"/>
      <c r="F79" s="202"/>
      <c r="G79" s="202"/>
      <c r="H79" s="202"/>
      <c r="I79" s="202"/>
      <c r="J79" s="202"/>
      <c r="K79" s="202"/>
      <c r="L79" s="202"/>
      <c r="M79" s="202"/>
      <c r="N79" s="202"/>
      <c r="O79" s="202"/>
      <c r="P79" s="203"/>
      <c r="Q79" s="203"/>
    </row>
  </sheetData>
  <sheetProtection password="CC31" sheet="1" objects="1" scenarios="1"/>
  <mergeCells count="57">
    <mergeCell ref="B1:F2"/>
    <mergeCell ref="B61:C61"/>
    <mergeCell ref="B54:C54"/>
    <mergeCell ref="B55:C55"/>
    <mergeCell ref="B56:C56"/>
    <mergeCell ref="B60:C60"/>
    <mergeCell ref="B50:C50"/>
    <mergeCell ref="B51:C51"/>
    <mergeCell ref="B52:C52"/>
    <mergeCell ref="B53:C53"/>
    <mergeCell ref="B44:C44"/>
    <mergeCell ref="J44:K44"/>
    <mergeCell ref="B45:C45"/>
    <mergeCell ref="D45:I45"/>
    <mergeCell ref="J45:K45"/>
    <mergeCell ref="B42:C42"/>
    <mergeCell ref="J42:K42"/>
    <mergeCell ref="B43:C43"/>
    <mergeCell ref="J43:K43"/>
    <mergeCell ref="B38:C38"/>
    <mergeCell ref="B40:C40"/>
    <mergeCell ref="B41:C41"/>
    <mergeCell ref="J41:K41"/>
    <mergeCell ref="B35:C35"/>
    <mergeCell ref="J35:K35"/>
    <mergeCell ref="D36:I36"/>
    <mergeCell ref="J36:K36"/>
    <mergeCell ref="J32:K32"/>
    <mergeCell ref="B33:C33"/>
    <mergeCell ref="J33:K33"/>
    <mergeCell ref="B34:C34"/>
    <mergeCell ref="J34:K34"/>
    <mergeCell ref="B27:E27"/>
    <mergeCell ref="B29:C29"/>
    <mergeCell ref="B31:C31"/>
    <mergeCell ref="B32:C32"/>
    <mergeCell ref="B19:C19"/>
    <mergeCell ref="B21:B22"/>
    <mergeCell ref="C21:J22"/>
    <mergeCell ref="B15:C15"/>
    <mergeCell ref="B16:C16"/>
    <mergeCell ref="B17:C17"/>
    <mergeCell ref="B18:C18"/>
    <mergeCell ref="B12:C13"/>
    <mergeCell ref="D12:E12"/>
    <mergeCell ref="F12:L12"/>
    <mergeCell ref="B14:C14"/>
    <mergeCell ref="B71:C73"/>
    <mergeCell ref="D71:E71"/>
    <mergeCell ref="G71:G72"/>
    <mergeCell ref="H71:H72"/>
    <mergeCell ref="D72:E72"/>
    <mergeCell ref="D73:F73"/>
    <mergeCell ref="B64:E64"/>
    <mergeCell ref="B69:C70"/>
    <mergeCell ref="D69:F70"/>
    <mergeCell ref="G69:H69"/>
  </mergeCells>
  <dataValidations count="1">
    <dataValidation type="whole" allowBlank="1" showInputMessage="1" showErrorMessage="1" errorTitle="mistake" sqref="K10">
      <formula1>0</formula1>
      <formula2>2000</formula2>
    </dataValidation>
  </dataValidations>
  <printOptions horizontalCentered="1"/>
  <pageMargins left="0.45" right="0.45" top="0.45" bottom="0.45" header="0.3" footer="0.3"/>
  <pageSetup horizontalDpi="600" verticalDpi="600" orientation="portrait" scale="57" r:id="rId2"/>
  <rowBreaks count="1" manualBreakCount="1">
    <brk id="76" max="14" man="1"/>
  </rowBreaks>
  <drawing r:id="rId1"/>
</worksheet>
</file>

<file path=xl/worksheets/sheet5.xml><?xml version="1.0" encoding="utf-8"?>
<worksheet xmlns="http://schemas.openxmlformats.org/spreadsheetml/2006/main" xmlns:r="http://schemas.openxmlformats.org/officeDocument/2006/relationships">
  <sheetPr codeName="Sheet5"/>
  <dimension ref="A1:L60"/>
  <sheetViews>
    <sheetView workbookViewId="0" topLeftCell="G1">
      <selection activeCell="A53" sqref="A53"/>
    </sheetView>
  </sheetViews>
  <sheetFormatPr defaultColWidth="11.421875" defaultRowHeight="12.75"/>
  <cols>
    <col min="1" max="1" width="13.7109375" style="0" hidden="1" customWidth="1"/>
    <col min="2" max="2" width="14.28125" style="0" hidden="1" customWidth="1"/>
    <col min="3" max="3" width="15.28125" style="0" hidden="1" customWidth="1"/>
    <col min="4" max="6" width="0" style="0" hidden="1" customWidth="1"/>
    <col min="7" max="7" width="9.8515625" style="305" bestFit="1" customWidth="1"/>
    <col min="8" max="16384" width="9.140625" style="0" customWidth="1"/>
  </cols>
  <sheetData>
    <row r="1" spans="1:12" s="313" customFormat="1" ht="23.25">
      <c r="A1" s="24" t="s">
        <v>19</v>
      </c>
      <c r="L1" s="316" t="s">
        <v>246</v>
      </c>
    </row>
    <row r="2" spans="1:12" s="313" customFormat="1" ht="12.75">
      <c r="A2" s="314" t="s">
        <v>20</v>
      </c>
      <c r="B2" s="315" t="s">
        <v>21</v>
      </c>
      <c r="G2" s="305"/>
      <c r="H2" s="335"/>
      <c r="J2" s="335"/>
      <c r="L2" s="317" t="s">
        <v>247</v>
      </c>
    </row>
    <row r="3" spans="1:10" ht="12.75">
      <c r="A3" s="23" t="s">
        <v>21</v>
      </c>
      <c r="H3" s="335"/>
      <c r="I3" s="313"/>
      <c r="J3" s="335"/>
    </row>
    <row r="4" spans="8:10" ht="12.75">
      <c r="H4" s="335"/>
      <c r="I4" s="313"/>
      <c r="J4" s="335"/>
    </row>
    <row r="5" spans="1:10" ht="12.75">
      <c r="A5" s="22" t="s">
        <v>145</v>
      </c>
      <c r="C5" s="1"/>
      <c r="H5" s="335"/>
      <c r="I5" s="313"/>
      <c r="J5" s="335"/>
    </row>
    <row r="6" spans="1:10" ht="12.75">
      <c r="A6">
        <v>1</v>
      </c>
      <c r="B6" s="253" t="s">
        <v>22</v>
      </c>
      <c r="H6" s="335"/>
      <c r="I6" s="335"/>
      <c r="J6" s="335"/>
    </row>
    <row r="7" spans="1:10" ht="12.75">
      <c r="A7" s="23" t="s">
        <v>22</v>
      </c>
      <c r="B7" s="253" t="s">
        <v>22</v>
      </c>
      <c r="H7" s="335"/>
      <c r="I7" s="335"/>
      <c r="J7" s="335"/>
    </row>
    <row r="8" spans="8:10" ht="12.75">
      <c r="H8" s="335"/>
      <c r="I8" s="335"/>
      <c r="J8" s="335"/>
    </row>
    <row r="9" spans="1:10" ht="12.75">
      <c r="A9" s="22" t="s">
        <v>23</v>
      </c>
      <c r="H9" s="335"/>
      <c r="I9" s="335"/>
      <c r="J9" s="335"/>
    </row>
    <row r="10" spans="1:2" ht="12.75">
      <c r="A10">
        <v>3</v>
      </c>
      <c r="B10" s="253" t="s">
        <v>244</v>
      </c>
    </row>
    <row r="11" spans="1:2" ht="12.75">
      <c r="A11">
        <v>4</v>
      </c>
      <c r="B11" s="253" t="s">
        <v>218</v>
      </c>
    </row>
    <row r="13" ht="12.75">
      <c r="A13" s="22" t="s">
        <v>24</v>
      </c>
    </row>
    <row r="14" spans="1:3" ht="12.75">
      <c r="A14" s="23" t="s">
        <v>13</v>
      </c>
      <c r="B14" s="253" t="str">
        <f>+IF('Input Data'!L17="Speed &gt;=  70 km/hr","&gt;= 70 km/hr",IF('Input Data'!L17="Speed &lt; 70 km/hr","&lt; 70 km/hr",0))</f>
        <v>&lt; 70 km/hr</v>
      </c>
      <c r="C14" s="253" t="s">
        <v>14</v>
      </c>
    </row>
    <row r="15" ht="12.75">
      <c r="A15" s="23" t="s">
        <v>14</v>
      </c>
    </row>
    <row r="17" spans="1:2" ht="12.75">
      <c r="A17" s="22" t="s">
        <v>26</v>
      </c>
      <c r="B17" s="22" t="s">
        <v>98</v>
      </c>
    </row>
    <row r="18" spans="1:4" ht="12.75">
      <c r="A18" s="24" t="s">
        <v>30</v>
      </c>
      <c r="B18" t="s">
        <v>151</v>
      </c>
      <c r="C18" s="254" t="s">
        <v>35</v>
      </c>
      <c r="D18" s="253"/>
    </row>
    <row r="19" spans="1:4" ht="12.75">
      <c r="A19" s="24" t="s">
        <v>31</v>
      </c>
      <c r="B19" t="s">
        <v>27</v>
      </c>
      <c r="C19" s="254" t="s">
        <v>36</v>
      </c>
      <c r="D19" s="253"/>
    </row>
    <row r="20" spans="1:4" ht="12.75">
      <c r="A20" s="24" t="s">
        <v>32</v>
      </c>
      <c r="B20" t="s">
        <v>196</v>
      </c>
      <c r="C20" s="254" t="s">
        <v>37</v>
      </c>
      <c r="D20" s="253"/>
    </row>
    <row r="21" spans="1:4" ht="12.75">
      <c r="A21" s="24" t="s">
        <v>33</v>
      </c>
      <c r="B21" t="s">
        <v>197</v>
      </c>
      <c r="C21" s="254" t="s">
        <v>38</v>
      </c>
      <c r="D21" s="253"/>
    </row>
    <row r="22" spans="1:4" ht="12.75">
      <c r="A22" s="24" t="s">
        <v>34</v>
      </c>
      <c r="B22" t="s">
        <v>28</v>
      </c>
      <c r="C22" s="254" t="s">
        <v>39</v>
      </c>
      <c r="D22" s="253"/>
    </row>
    <row r="23" spans="1:4" ht="12.75">
      <c r="A23" s="24" t="s">
        <v>194</v>
      </c>
      <c r="B23" t="s">
        <v>29</v>
      </c>
      <c r="C23" s="254" t="s">
        <v>198</v>
      </c>
      <c r="D23" s="253"/>
    </row>
    <row r="24" spans="1:4" ht="12.75">
      <c r="A24" s="22" t="s">
        <v>26</v>
      </c>
      <c r="B24" s="22" t="s">
        <v>99</v>
      </c>
      <c r="C24" s="253"/>
      <c r="D24" s="253"/>
    </row>
    <row r="25" spans="1:4" ht="12.75">
      <c r="A25" s="24" t="s">
        <v>193</v>
      </c>
      <c r="B25" t="s">
        <v>195</v>
      </c>
      <c r="C25" s="254" t="s">
        <v>100</v>
      </c>
      <c r="D25" s="253"/>
    </row>
    <row r="26" spans="1:4" ht="12.75">
      <c r="A26" s="24" t="s">
        <v>34</v>
      </c>
      <c r="B26" t="s">
        <v>28</v>
      </c>
      <c r="C26" s="254" t="s">
        <v>101</v>
      </c>
      <c r="D26" s="253"/>
    </row>
    <row r="27" spans="1:4" ht="12.75">
      <c r="A27" s="24" t="s">
        <v>194</v>
      </c>
      <c r="B27" t="s">
        <v>29</v>
      </c>
      <c r="C27" s="254" t="s">
        <v>102</v>
      </c>
      <c r="D27" s="253"/>
    </row>
    <row r="28" spans="1:3" ht="12.75">
      <c r="A28" s="24"/>
      <c r="C28" s="24"/>
    </row>
    <row r="29" spans="1:3" ht="12.75">
      <c r="A29" s="24"/>
      <c r="C29" s="24"/>
    </row>
    <row r="31" ht="12.75">
      <c r="A31" s="36" t="s">
        <v>51</v>
      </c>
    </row>
    <row r="32" ht="12.75">
      <c r="A32" s="253" t="s">
        <v>243</v>
      </c>
    </row>
    <row r="33" ht="12.75">
      <c r="A33" s="21" t="s">
        <v>166</v>
      </c>
    </row>
    <row r="34" spans="1:4" ht="12.75">
      <c r="A34" s="253">
        <f>+IF('Proposed Collision'!L22="",LOOKUP(VALUE(A32),'Proposed Collision'!B14:C19,'Proposed Collision'!D14:D19),'Proposed Collision'!L22)</f>
        <v>23648</v>
      </c>
      <c r="B34" s="253">
        <f>+IF('Proposed Collision'!M22="",LOOKUP(VALUE(A32),'Proposed Collision'!B14:C19,'Proposed Collision'!E14:E19),'Proposed Collision'!M22)</f>
        <v>6528</v>
      </c>
      <c r="D34" s="181"/>
    </row>
    <row r="36" ht="12.75">
      <c r="A36" s="21" t="s">
        <v>152</v>
      </c>
    </row>
    <row r="37" spans="1:6" ht="12.75">
      <c r="A37" s="176" t="str">
        <f>+IF(AND(B6="1",B7="1"),"A",IF(AND(B6="1",B7="2"),"B",IF(AND(B6="2",B7="1"),"C",IF(AND(B6="",B7=""),"","D"))))</f>
        <v>D</v>
      </c>
      <c r="B37" s="175">
        <f>+IF($A$38="",0,VLOOKUP($A$38,$A$39:$F$47,2,FALSE))</f>
        <v>864.4</v>
      </c>
      <c r="C37" s="175">
        <f>IF(A38="",0,VLOOKUP($A$38,$A$39:$F$47,3,FALSE))</f>
        <v>-0.99</v>
      </c>
      <c r="D37" s="175">
        <f>IF(A38="",0,VLOOKUP($A$38,$A$39:$F$47,4,FALSE))</f>
        <v>0.00032</v>
      </c>
      <c r="E37" s="175">
        <f>IF(A38="",0,VLOOKUP($A$38,$A$39:$F$47,5,FALSE))</f>
        <v>1325</v>
      </c>
      <c r="F37" s="175">
        <f>IF(A38="",0,VLOOKUP($A$38,$A$39:$F$47,6,FALSE))</f>
        <v>115</v>
      </c>
    </row>
    <row r="38" ht="15.75" customHeight="1">
      <c r="A38" s="175" t="str">
        <f>IF(A37="","",CONCATENATE(A37,IF(C14="Urban","U","R")))</f>
        <v>DU</v>
      </c>
    </row>
    <row r="39" spans="2:6" ht="12.75">
      <c r="B39" s="174" t="s">
        <v>161</v>
      </c>
      <c r="C39" s="174" t="s">
        <v>162</v>
      </c>
      <c r="D39" s="174" t="s">
        <v>163</v>
      </c>
      <c r="E39" s="174" t="s">
        <v>8</v>
      </c>
      <c r="F39" s="177" t="s">
        <v>164</v>
      </c>
    </row>
    <row r="40" spans="1:6" ht="12.75">
      <c r="A40" t="s">
        <v>153</v>
      </c>
      <c r="B40" s="174">
        <v>542</v>
      </c>
      <c r="C40" s="174">
        <v>-0.68</v>
      </c>
      <c r="D40" s="174">
        <v>0.00024</v>
      </c>
      <c r="E40" s="174">
        <v>1150</v>
      </c>
      <c r="F40" s="174">
        <v>80</v>
      </c>
    </row>
    <row r="41" spans="1:6" ht="12.75">
      <c r="A41" t="s">
        <v>154</v>
      </c>
      <c r="B41" s="174">
        <v>649</v>
      </c>
      <c r="C41" s="174">
        <v>-0.75</v>
      </c>
      <c r="D41" s="174">
        <v>0.00024</v>
      </c>
      <c r="E41" s="174">
        <v>1125</v>
      </c>
      <c r="F41" s="174">
        <v>115</v>
      </c>
    </row>
    <row r="42" spans="1:6" ht="12.75">
      <c r="A42" t="s">
        <v>155</v>
      </c>
      <c r="B42" s="174">
        <v>649</v>
      </c>
      <c r="C42" s="174">
        <v>-0.75</v>
      </c>
      <c r="D42" s="174">
        <v>0.00024</v>
      </c>
      <c r="E42" s="174">
        <v>1350</v>
      </c>
      <c r="F42" s="174">
        <v>80</v>
      </c>
    </row>
    <row r="43" spans="1:6" ht="12.75">
      <c r="A43" t="s">
        <v>156</v>
      </c>
      <c r="B43" s="174">
        <v>864.4</v>
      </c>
      <c r="C43" s="174">
        <v>-0.99</v>
      </c>
      <c r="D43" s="174">
        <v>0.00032</v>
      </c>
      <c r="E43" s="174">
        <v>1325</v>
      </c>
      <c r="F43" s="174">
        <v>115</v>
      </c>
    </row>
    <row r="44" spans="1:6" ht="12.75">
      <c r="A44" t="s">
        <v>157</v>
      </c>
      <c r="B44" s="174">
        <v>577</v>
      </c>
      <c r="C44" s="174">
        <v>-0.69</v>
      </c>
      <c r="D44" s="174">
        <v>0.00023</v>
      </c>
      <c r="E44" s="174">
        <v>1200</v>
      </c>
      <c r="F44" s="174">
        <v>80</v>
      </c>
    </row>
    <row r="45" spans="1:6" ht="12.75">
      <c r="A45" t="s">
        <v>158</v>
      </c>
      <c r="B45" s="174">
        <v>689.1</v>
      </c>
      <c r="C45" s="174">
        <v>-0.75</v>
      </c>
      <c r="D45" s="174">
        <v>0.00023</v>
      </c>
      <c r="E45" s="174">
        <v>1175</v>
      </c>
      <c r="F45" s="174">
        <v>115</v>
      </c>
    </row>
    <row r="46" spans="1:6" ht="12.75">
      <c r="A46" t="s">
        <v>159</v>
      </c>
      <c r="B46" s="174">
        <v>650.3</v>
      </c>
      <c r="C46" s="174">
        <v>-0.75</v>
      </c>
      <c r="D46" s="174">
        <v>0.00025</v>
      </c>
      <c r="E46" s="174">
        <v>1375</v>
      </c>
      <c r="F46" s="174">
        <v>80</v>
      </c>
    </row>
    <row r="47" spans="1:6" ht="12.75">
      <c r="A47" t="s">
        <v>160</v>
      </c>
      <c r="B47" s="174">
        <v>866.1</v>
      </c>
      <c r="C47" s="174">
        <v>-0.99</v>
      </c>
      <c r="D47" s="174">
        <v>0.00032</v>
      </c>
      <c r="E47" s="174">
        <v>1325</v>
      </c>
      <c r="F47" s="174">
        <v>115</v>
      </c>
    </row>
    <row r="49" ht="12.75">
      <c r="A49" s="21"/>
    </row>
    <row r="50" ht="12.75">
      <c r="A50" s="21" t="s">
        <v>190</v>
      </c>
    </row>
    <row r="51" ht="12.75">
      <c r="A51" s="21"/>
    </row>
    <row r="52" spans="1:3" ht="12.75">
      <c r="A52" s="191" t="s">
        <v>179</v>
      </c>
      <c r="B52" s="255"/>
      <c r="C52" s="256"/>
    </row>
    <row r="53" spans="1:3" ht="12.75">
      <c r="A53" s="336" t="s">
        <v>178</v>
      </c>
      <c r="B53" s="255"/>
      <c r="C53" s="256"/>
    </row>
    <row r="54" spans="1:3" ht="12.75">
      <c r="A54" s="256"/>
      <c r="B54" s="256"/>
      <c r="C54" s="256"/>
    </row>
    <row r="57" spans="3:6" ht="12.75">
      <c r="C57" s="310"/>
      <c r="D57" s="310"/>
      <c r="E57" s="310"/>
      <c r="F57" s="310"/>
    </row>
    <row r="58" spans="3:6" ht="12.75">
      <c r="C58" s="310"/>
      <c r="D58" s="310"/>
      <c r="E58" s="310"/>
      <c r="F58" s="310"/>
    </row>
    <row r="59" spans="3:6" ht="12.75">
      <c r="C59" s="310"/>
      <c r="D59" s="310"/>
      <c r="E59" s="310"/>
      <c r="F59" s="310"/>
    </row>
    <row r="60" spans="3:6" ht="12.75">
      <c r="C60" s="310"/>
      <c r="D60" s="310"/>
      <c r="E60" s="310"/>
      <c r="F60" s="310"/>
    </row>
  </sheetData>
  <sheetProtection password="CC31" sheet="1" objects="1" scenarios="1"/>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Kaman Pang</dc:creator>
  <cp:keywords/>
  <dc:description/>
  <cp:lastModifiedBy>Nom de l'utilisateur</cp:lastModifiedBy>
  <cp:lastPrinted>2006-02-28T21:16:30Z</cp:lastPrinted>
  <dcterms:created xsi:type="dcterms:W3CDTF">2005-04-06T15:15:47Z</dcterms:created>
  <dcterms:modified xsi:type="dcterms:W3CDTF">2008-10-06T14:48:44Z</dcterms:modified>
  <cp:category/>
  <cp:version/>
  <cp:contentType/>
  <cp:contentStatus/>
</cp:coreProperties>
</file>